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10800" activeTab="0"/>
  </bookViews>
  <sheets>
    <sheet name="Nátrium lámpa méretezés" sheetId="1" r:id="rId1"/>
  </sheets>
  <definedNames/>
  <calcPr fullCalcOnLoad="1"/>
</workbook>
</file>

<file path=xl/sharedStrings.xml><?xml version="1.0" encoding="utf-8"?>
<sst xmlns="http://schemas.openxmlformats.org/spreadsheetml/2006/main" count="299" uniqueCount="166">
  <si>
    <t>Hz</t>
  </si>
  <si>
    <t>mm</t>
  </si>
  <si>
    <t xml:space="preserve">Skin effektus </t>
  </si>
  <si>
    <t>Frekvencia</t>
  </si>
  <si>
    <t>FREKVENCIA</t>
  </si>
  <si>
    <t>Rezisztivitás Jele: ρ ( rho )</t>
  </si>
  <si>
    <t>Ωm</t>
  </si>
  <si>
    <t>μ</t>
  </si>
  <si>
    <t>réz</t>
  </si>
  <si>
    <t>Behatolási mélység</t>
  </si>
  <si>
    <t>Induktiv reaktancia</t>
  </si>
  <si>
    <t>Vizkondenzátor</t>
  </si>
  <si>
    <t xml:space="preserve">Lemez magassága </t>
  </si>
  <si>
    <t>Lemez szélessége</t>
  </si>
  <si>
    <r>
      <t>m</t>
    </r>
    <r>
      <rPr>
        <b/>
        <vertAlign val="superscript"/>
        <sz val="10"/>
        <rFont val="Arial"/>
        <family val="2"/>
      </rPr>
      <t>2</t>
    </r>
  </si>
  <si>
    <t>lemez távolsága</t>
  </si>
  <si>
    <t>m</t>
  </si>
  <si>
    <t>Teljes Feszültség:</t>
  </si>
  <si>
    <t>V</t>
  </si>
  <si>
    <t>Permittimitás</t>
  </si>
  <si>
    <t>Egyenáram:</t>
  </si>
  <si>
    <t>A</t>
  </si>
  <si>
    <t>Lemez kapacitás:</t>
  </si>
  <si>
    <t>nF</t>
  </si>
  <si>
    <r>
      <t>m</t>
    </r>
    <r>
      <rPr>
        <b/>
        <sz val="10"/>
        <rFont val="Times New Roman"/>
        <family val="1"/>
      </rPr>
      <t>F</t>
    </r>
  </si>
  <si>
    <t>Kapacitiv reaktancia:</t>
  </si>
  <si>
    <t>W</t>
  </si>
  <si>
    <t>A tekercs induktivitás:</t>
  </si>
  <si>
    <t>mH</t>
  </si>
  <si>
    <t>H</t>
  </si>
  <si>
    <t>Induktiv reaktancia:</t>
  </si>
  <si>
    <t>Munkatekercs:</t>
  </si>
  <si>
    <t>Segédtekercs:</t>
  </si>
  <si>
    <t>Impedancia:</t>
  </si>
  <si>
    <t>TÁPFESZÜLTSÉG</t>
  </si>
  <si>
    <t>Kapacitiv keletkező feszültség:</t>
  </si>
  <si>
    <t>Kapacitiv reaktancia</t>
  </si>
  <si>
    <t>KAPACITÁS</t>
  </si>
  <si>
    <t>INDUKTIVITÁS</t>
  </si>
  <si>
    <t>Induktiv reaktancia munkatek:</t>
  </si>
  <si>
    <t>Induktiv reaktancia segédtek:</t>
  </si>
  <si>
    <t>folytótekercs:</t>
  </si>
  <si>
    <t>F</t>
  </si>
  <si>
    <t>Kondi</t>
  </si>
  <si>
    <t>Tekercs</t>
  </si>
  <si>
    <t>pF</t>
  </si>
  <si>
    <r>
      <t>m</t>
    </r>
    <r>
      <rPr>
        <b/>
        <sz val="10"/>
        <rFont val="Arial"/>
        <family val="2"/>
      </rPr>
      <t>H</t>
    </r>
  </si>
  <si>
    <t>szükséges kondi</t>
  </si>
  <si>
    <t>Szükséges tekercs</t>
  </si>
  <si>
    <t>Induktiv keletkező feszültség:</t>
  </si>
  <si>
    <t>Induktiv tekercsen</t>
  </si>
  <si>
    <t>keletkező feszültség</t>
  </si>
  <si>
    <t>Kapacitiv kondenzátoron</t>
  </si>
  <si>
    <t>Lev. mágneses permeabilitás</t>
  </si>
  <si>
    <t>Keletkező impedancia</t>
  </si>
  <si>
    <t>induktiv jellegű</t>
  </si>
  <si>
    <t>Kapacitív jellegű</t>
  </si>
  <si>
    <t>C</t>
  </si>
  <si>
    <t>L</t>
  </si>
  <si>
    <t>XC és XL</t>
  </si>
  <si>
    <t>ohm</t>
  </si>
  <si>
    <t>nH</t>
  </si>
  <si>
    <t>uH</t>
  </si>
  <si>
    <t>kHz</t>
  </si>
  <si>
    <t>kohm</t>
  </si>
  <si>
    <t>uF</t>
  </si>
  <si>
    <t>MHz</t>
  </si>
  <si>
    <t>Mohm</t>
  </si>
  <si>
    <t>XC</t>
  </si>
  <si>
    <t>Uc</t>
  </si>
  <si>
    <t>Ic</t>
  </si>
  <si>
    <t>kV</t>
  </si>
  <si>
    <t>mA</t>
  </si>
  <si>
    <t>XL</t>
  </si>
  <si>
    <t>oszlop átmérő (mm)</t>
  </si>
  <si>
    <t>lyuk (mm)</t>
  </si>
  <si>
    <t>Vas keresztmetszet cm2</t>
  </si>
  <si>
    <t>Imax (A)</t>
  </si>
  <si>
    <t>szüks.légréshossz (mm)</t>
  </si>
  <si>
    <t>szüks menetszám</t>
  </si>
  <si>
    <t>Légréshossz ()</t>
  </si>
  <si>
    <t>induktivitás (uH)</t>
  </si>
  <si>
    <t>szükséges menetszám</t>
  </si>
  <si>
    <t>Tekercs induktivitása
L (uH)</t>
  </si>
  <si>
    <t>Max áram
I (A)</t>
  </si>
  <si>
    <t>Vasmag keresztmetszet (cm2)</t>
  </si>
  <si>
    <t>Légréshossz
l (mm)</t>
  </si>
  <si>
    <t>Indukció 
B max (T)</t>
  </si>
  <si>
    <t>Al szám
(nH)</t>
  </si>
  <si>
    <t>Max Indukció 
B max (T)</t>
  </si>
  <si>
    <t>Max gerjesztés
(A)</t>
  </si>
  <si>
    <t>DC kapcs tápban (60kHz)
a tekercs kb. 0,28T-ig lesz jó</t>
  </si>
  <si>
    <t>Max áramerősség
(A)</t>
  </si>
  <si>
    <t>menetszám</t>
  </si>
  <si>
    <t>induktivitás
(uH)</t>
  </si>
  <si>
    <t>AC áramra a tekercs
 kb 0,18T-ig használható</t>
  </si>
  <si>
    <t>Tekercs hossza (mm)</t>
  </si>
  <si>
    <t>tekercs átmérö (mm)</t>
  </si>
  <si>
    <t>induktivitás (mH)</t>
  </si>
  <si>
    <t>A keletkező impedancia:</t>
  </si>
  <si>
    <t>Kondenzátor értékének meghatározása:</t>
  </si>
  <si>
    <t>Rezonanciafrekvencia megadása:</t>
  </si>
  <si>
    <t>Induktivitás értékének meghatározása:</t>
  </si>
  <si>
    <t>XC számítás (kapacitív reaktancia meghatározása)</t>
  </si>
  <si>
    <t>XL számítás (induktiv reaktancia meghatározása)</t>
  </si>
  <si>
    <t>Menetszám számítása:</t>
  </si>
  <si>
    <t>Feszültség</t>
  </si>
  <si>
    <t>Max indukció</t>
  </si>
  <si>
    <t>Menetszám</t>
  </si>
  <si>
    <t>U sin. / effektív érték</t>
  </si>
  <si>
    <t>B</t>
  </si>
  <si>
    <t>szinuszos feszültség esetén</t>
  </si>
  <si>
    <t xml:space="preserve"> négyszög feszültség esetén</t>
  </si>
  <si>
    <t>V - (Volt)</t>
  </si>
  <si>
    <t>T - (Tesla)</t>
  </si>
  <si>
    <t>cm2  - (négyzetcenti)</t>
  </si>
  <si>
    <t>Hz - (Hertz)</t>
  </si>
  <si>
    <t>N</t>
  </si>
  <si>
    <t>Indukció</t>
  </si>
  <si>
    <t>menet</t>
  </si>
  <si>
    <t>(T) szinuszos fesz.esetén</t>
  </si>
  <si>
    <t>(T) négyszög fesz.esetén</t>
  </si>
  <si>
    <t>Áramsürüség</t>
  </si>
  <si>
    <t>Áramerösség</t>
  </si>
  <si>
    <t>Huzal keresztmetszet</t>
  </si>
  <si>
    <t>Huzal átmérö</t>
  </si>
  <si>
    <t>Több párhuzamos szállal tekercselve</t>
  </si>
  <si>
    <t>felhasznált huzal átméröje</t>
  </si>
  <si>
    <t>szüks. huzalok száma</t>
  </si>
  <si>
    <t>A/mm2</t>
  </si>
  <si>
    <t>mm2</t>
  </si>
  <si>
    <t>db</t>
  </si>
  <si>
    <t>huzalátmérő (mm)</t>
  </si>
  <si>
    <t>hossz  (m)</t>
  </si>
  <si>
    <t>ellenállás (ohm)</t>
  </si>
  <si>
    <t>szálak száma</t>
  </si>
  <si>
    <t>Nátrium lámpa meghajtó trafó méretezése:</t>
  </si>
  <si>
    <t>Vasmag kereszt metszete</t>
  </si>
  <si>
    <t>indukció számítása:</t>
  </si>
  <si>
    <r>
      <t>cm</t>
    </r>
    <r>
      <rPr>
        <vertAlign val="superscript"/>
        <sz val="10"/>
        <rFont val="Arial"/>
        <family val="2"/>
      </rPr>
      <t>2</t>
    </r>
  </si>
  <si>
    <t>AL szám</t>
  </si>
  <si>
    <t>induktivitás uH-ben</t>
  </si>
  <si>
    <t>induktivitás mH-ben</t>
  </si>
  <si>
    <t>szüks induktivitás uH-ben</t>
  </si>
  <si>
    <t>feltekert menetszám</t>
  </si>
  <si>
    <t>induktivitás uH</t>
  </si>
  <si>
    <t>számított AL</t>
  </si>
  <si>
    <t>rézhuzal ellenállásásnak megsaccolása többvezetékes tekercsek esetében:</t>
  </si>
  <si>
    <t>Huzalvastagság számítása:</t>
  </si>
  <si>
    <t>induktivitás tényezö</t>
  </si>
  <si>
    <t>induktivitás meghatározása:</t>
  </si>
  <si>
    <t>Nátrium lámpa gyújtó trafó és csatoló trafó méretezése:</t>
  </si>
  <si>
    <t>Menetszám és AL értékének meghatározása:</t>
  </si>
  <si>
    <t>Légréshossz és menetszám  számítása,  légréses vasmagú tekercshez:</t>
  </si>
  <si>
    <t>(uH)</t>
  </si>
  <si>
    <t>Bmax (T)</t>
  </si>
  <si>
    <t>Menetszám számítása légréses vasmagú tekercshez:</t>
  </si>
  <si>
    <t>Légréses vasmagú tekercs indukció számítása:</t>
  </si>
  <si>
    <t>Tekercs méretezése adott vasmagra, adott áramerősségre - menetszám és elérhető induktivitás:</t>
  </si>
  <si>
    <t>induktivitás
(mH)</t>
  </si>
  <si>
    <t>Légmagos tekercs induktivitás meghatározása:</t>
  </si>
  <si>
    <t>Az a mélység mely során az elektronok behatolni képeset a villamos vezető belsejében. Minél nagyobb a frekvencia, annál  több vékony huzalra lesz szükség .</t>
  </si>
  <si>
    <t>Vaskeresztmetszet számítás</t>
  </si>
  <si>
    <r>
      <t>cm</t>
    </r>
    <r>
      <rPr>
        <b/>
        <vertAlign val="superscript"/>
        <sz val="10"/>
        <rFont val="Arial"/>
        <family val="2"/>
      </rPr>
      <t>2</t>
    </r>
  </si>
  <si>
    <t>trafó magszélesség</t>
  </si>
  <si>
    <t>Mélység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</si>
</sst>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00"/>
    <numFmt numFmtId="165" formatCode="0.0000"/>
    <numFmt numFmtId="166" formatCode="0.00000"/>
    <numFmt numFmtId="167" formatCode="0.00000000"/>
    <numFmt numFmtId="168" formatCode="0.00000000000000"/>
    <numFmt numFmtId="169" formatCode="0.00000000000000000000000"/>
    <numFmt numFmtId="170" formatCode="0.00000000000000000"/>
    <numFmt numFmtId="171" formatCode="0.0000000000000000000000000"/>
    <numFmt numFmtId="172" formatCode="0.000"/>
    <numFmt numFmtId="173" formatCode="###,###"/>
    <numFmt numFmtId="174" formatCode="0.0"/>
  </numFmts>
  <fonts count="30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  <font>
      <b/>
      <sz val="16"/>
      <name val="Arial"/>
      <family val="0"/>
    </font>
    <font>
      <sz val="10"/>
      <color indexed="9"/>
      <name val="Arial"/>
      <family val="0"/>
    </font>
    <font>
      <sz val="10"/>
      <color indexed="49"/>
      <name val="Arial"/>
      <family val="0"/>
    </font>
    <font>
      <sz val="10"/>
      <color indexed="57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2"/>
      <name val="Symbol"/>
      <family val="1"/>
    </font>
    <font>
      <b/>
      <sz val="12"/>
      <name val="Arial"/>
      <family val="2"/>
    </font>
    <font>
      <b/>
      <sz val="10"/>
      <color indexed="49"/>
      <name val="Arial"/>
      <family val="2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22"/>
      <color indexed="9"/>
      <name val="Arial CE"/>
      <family val="2"/>
    </font>
    <font>
      <b/>
      <sz val="10"/>
      <color indexed="10"/>
      <name val="Arial"/>
      <family val="2"/>
    </font>
    <font>
      <b/>
      <sz val="22"/>
      <color indexed="9"/>
      <name val="Arial"/>
      <family val="2"/>
    </font>
    <font>
      <b/>
      <sz val="9"/>
      <name val="Arial"/>
      <family val="2"/>
    </font>
    <font>
      <sz val="22"/>
      <name val="Arial"/>
      <family val="0"/>
    </font>
    <font>
      <b/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wrapText="1"/>
      <protection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/>
    </xf>
    <xf numFmtId="0" fontId="0" fillId="3" borderId="6" xfId="0" applyFill="1" applyBorder="1" applyAlignment="1" applyProtection="1">
      <alignment horizontal="center" wrapText="1"/>
      <protection/>
    </xf>
    <xf numFmtId="0" fontId="0" fillId="3" borderId="0" xfId="0" applyFill="1" applyBorder="1" applyAlignment="1" applyProtection="1">
      <alignment horizontal="center" wrapText="1"/>
      <protection/>
    </xf>
    <xf numFmtId="0" fontId="0" fillId="3" borderId="5" xfId="0" applyFill="1" applyBorder="1" applyAlignment="1" applyProtection="1">
      <alignment horizontal="center" wrapText="1"/>
      <protection/>
    </xf>
    <xf numFmtId="2" fontId="0" fillId="2" borderId="9" xfId="0" applyNumberForma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164" fontId="3" fillId="3" borderId="16" xfId="0" applyNumberFormat="1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2" fontId="3" fillId="4" borderId="10" xfId="0" applyNumberFormat="1" applyFont="1" applyFill="1" applyBorder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18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164" fontId="3" fillId="4" borderId="20" xfId="0" applyNumberFormat="1" applyFont="1" applyFill="1" applyBorder="1" applyAlignment="1" applyProtection="1">
      <alignment/>
      <protection/>
    </xf>
    <xf numFmtId="0" fontId="3" fillId="3" borderId="21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4" borderId="6" xfId="0" applyFont="1" applyFill="1" applyBorder="1" applyAlignment="1" applyProtection="1">
      <alignment/>
      <protection/>
    </xf>
    <xf numFmtId="0" fontId="3" fillId="5" borderId="8" xfId="0" applyFont="1" applyFill="1" applyBorder="1" applyAlignment="1" applyProtection="1">
      <alignment/>
      <protection/>
    </xf>
    <xf numFmtId="2" fontId="3" fillId="4" borderId="12" xfId="0" applyNumberFormat="1" applyFont="1" applyFill="1" applyBorder="1" applyAlignment="1" applyProtection="1">
      <alignment horizontal="center"/>
      <protection/>
    </xf>
    <xf numFmtId="0" fontId="5" fillId="5" borderId="14" xfId="0" applyFont="1" applyFill="1" applyBorder="1" applyAlignment="1" applyProtection="1">
      <alignment/>
      <protection/>
    </xf>
    <xf numFmtId="2" fontId="3" fillId="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0" fontId="3" fillId="3" borderId="17" xfId="0" applyFont="1" applyFill="1" applyBorder="1" applyAlignment="1" applyProtection="1">
      <alignment/>
      <protection/>
    </xf>
    <xf numFmtId="166" fontId="3" fillId="4" borderId="12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/>
      <protection/>
    </xf>
    <xf numFmtId="165" fontId="3" fillId="4" borderId="12" xfId="0" applyNumberFormat="1" applyFont="1" applyFill="1" applyBorder="1" applyAlignment="1" applyProtection="1">
      <alignment horizontal="right"/>
      <protection/>
    </xf>
    <xf numFmtId="0" fontId="3" fillId="3" borderId="19" xfId="0" applyFont="1" applyFill="1" applyBorder="1" applyAlignment="1" applyProtection="1">
      <alignment/>
      <protection/>
    </xf>
    <xf numFmtId="0" fontId="3" fillId="3" borderId="20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/>
      <protection/>
    </xf>
    <xf numFmtId="165" fontId="3" fillId="4" borderId="12" xfId="0" applyNumberFormat="1" applyFont="1" applyFill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/>
      <protection/>
    </xf>
    <xf numFmtId="172" fontId="3" fillId="4" borderId="12" xfId="0" applyNumberFormat="1" applyFont="1" applyFill="1" applyBorder="1" applyAlignment="1" applyProtection="1">
      <alignment horizontal="center"/>
      <protection/>
    </xf>
    <xf numFmtId="2" fontId="3" fillId="4" borderId="12" xfId="0" applyNumberFormat="1" applyFont="1" applyFill="1" applyBorder="1" applyAlignment="1" applyProtection="1">
      <alignment horizontal="center"/>
      <protection/>
    </xf>
    <xf numFmtId="0" fontId="9" fillId="5" borderId="18" xfId="0" applyFont="1" applyFill="1" applyBorder="1" applyAlignment="1" applyProtection="1">
      <alignment/>
      <protection/>
    </xf>
    <xf numFmtId="2" fontId="3" fillId="4" borderId="1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3" fillId="4" borderId="12" xfId="0" applyNumberFormat="1" applyFont="1" applyFill="1" applyBorder="1" applyAlignment="1" applyProtection="1">
      <alignment/>
      <protection/>
    </xf>
    <xf numFmtId="0" fontId="3" fillId="5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14" fillId="4" borderId="12" xfId="0" applyNumberFormat="1" applyFont="1" applyFill="1" applyBorder="1" applyAlignment="1" applyProtection="1">
      <alignment/>
      <protection/>
    </xf>
    <xf numFmtId="2" fontId="0" fillId="4" borderId="12" xfId="0" applyNumberForma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20" xfId="0" applyFont="1" applyFill="1" applyBorder="1" applyAlignment="1" applyProtection="1">
      <alignment/>
      <protection/>
    </xf>
    <xf numFmtId="0" fontId="3" fillId="3" borderId="2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3" fillId="3" borderId="16" xfId="0" applyFont="1" applyFill="1" applyBorder="1" applyAlignment="1" applyProtection="1">
      <alignment/>
      <protection/>
    </xf>
    <xf numFmtId="166" fontId="3" fillId="4" borderId="12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horizontal="center"/>
      <protection/>
    </xf>
    <xf numFmtId="0" fontId="3" fillId="3" borderId="17" xfId="0" applyFont="1" applyFill="1" applyBorder="1" applyAlignment="1" applyProtection="1">
      <alignment horizontal="left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2" fontId="3" fillId="4" borderId="12" xfId="0" applyNumberFormat="1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 horizontal="left"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center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0" fillId="3" borderId="21" xfId="0" applyFill="1" applyBorder="1" applyAlignment="1" applyProtection="1">
      <alignment horizontal="left"/>
      <protection/>
    </xf>
    <xf numFmtId="0" fontId="3" fillId="3" borderId="17" xfId="0" applyFont="1" applyFill="1" applyBorder="1" applyAlignment="1" applyProtection="1">
      <alignment horizontal="center"/>
      <protection/>
    </xf>
    <xf numFmtId="0" fontId="3" fillId="3" borderId="15" xfId="0" applyNumberFormat="1" applyFont="1" applyFill="1" applyBorder="1" applyAlignment="1" applyProtection="1">
      <alignment horizontal="center"/>
      <protection/>
    </xf>
    <xf numFmtId="2" fontId="3" fillId="4" borderId="12" xfId="0" applyNumberFormat="1" applyFont="1" applyFill="1" applyBorder="1" applyAlignment="1" applyProtection="1">
      <alignment horizontal="right"/>
      <protection/>
    </xf>
    <xf numFmtId="0" fontId="3" fillId="3" borderId="17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3" fillId="3" borderId="4" xfId="0" applyNumberFormat="1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right"/>
      <protection/>
    </xf>
    <xf numFmtId="0" fontId="3" fillId="3" borderId="19" xfId="0" applyNumberFormat="1" applyFont="1" applyFill="1" applyBorder="1" applyAlignment="1" applyProtection="1">
      <alignment horizontal="center"/>
      <protection/>
    </xf>
    <xf numFmtId="0" fontId="3" fillId="3" borderId="21" xfId="0" applyFont="1" applyFill="1" applyBorder="1" applyAlignment="1" applyProtection="1">
      <alignment horizontal="right"/>
      <protection/>
    </xf>
    <xf numFmtId="1" fontId="3" fillId="4" borderId="12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left"/>
      <protection/>
    </xf>
    <xf numFmtId="173" fontId="0" fillId="4" borderId="12" xfId="0" applyNumberFormat="1" applyFill="1" applyBorder="1" applyAlignment="1" applyProtection="1">
      <alignment horizontal="right"/>
      <protection/>
    </xf>
    <xf numFmtId="0" fontId="0" fillId="3" borderId="17" xfId="0" applyFill="1" applyBorder="1" applyAlignment="1" applyProtection="1">
      <alignment horizontal="center"/>
      <protection/>
    </xf>
    <xf numFmtId="2" fontId="0" fillId="0" borderId="4" xfId="0" applyNumberFormat="1" applyFill="1" applyBorder="1" applyAlignment="1" applyProtection="1">
      <alignment horizontal="right"/>
      <protection/>
    </xf>
    <xf numFmtId="1" fontId="0" fillId="4" borderId="12" xfId="0" applyNumberFormat="1" applyFill="1" applyBorder="1" applyAlignment="1" applyProtection="1">
      <alignment horizontal="righ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0" fillId="3" borderId="19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2" fontId="0" fillId="4" borderId="12" xfId="0" applyNumberFormat="1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17" fillId="3" borderId="6" xfId="0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174" fontId="0" fillId="4" borderId="12" xfId="0" applyNumberFormat="1" applyFill="1" applyBorder="1" applyAlignment="1" applyProtection="1">
      <alignment horizontal="center"/>
      <protection/>
    </xf>
    <xf numFmtId="172" fontId="0" fillId="4" borderId="12" xfId="0" applyNumberFormat="1" applyFill="1" applyBorder="1" applyAlignment="1" applyProtection="1">
      <alignment horizontal="center"/>
      <protection/>
    </xf>
    <xf numFmtId="0" fontId="3" fillId="3" borderId="22" xfId="0" applyFont="1" applyFill="1" applyBorder="1" applyAlignment="1" applyProtection="1">
      <alignment horizontal="center"/>
      <protection/>
    </xf>
    <xf numFmtId="0" fontId="3" fillId="3" borderId="6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7" fillId="3" borderId="3" xfId="0" applyFont="1" applyFill="1" applyBorder="1" applyAlignment="1" applyProtection="1">
      <alignment horizontal="center"/>
      <protection/>
    </xf>
    <xf numFmtId="2" fontId="0" fillId="4" borderId="12" xfId="0" applyNumberFormat="1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23" xfId="0" applyFont="1" applyFill="1" applyBorder="1" applyAlignment="1" applyProtection="1">
      <alignment/>
      <protection/>
    </xf>
    <xf numFmtId="172" fontId="0" fillId="4" borderId="12" xfId="0" applyNumberFormat="1" applyFont="1" applyFill="1" applyBorder="1" applyAlignment="1" applyProtection="1">
      <alignment horizontal="center"/>
      <protection/>
    </xf>
    <xf numFmtId="172" fontId="0" fillId="4" borderId="1" xfId="0" applyNumberFormat="1" applyFont="1" applyFill="1" applyBorder="1" applyAlignment="1" applyProtection="1">
      <alignment horizontal="center"/>
      <protection/>
    </xf>
    <xf numFmtId="0" fontId="0" fillId="3" borderId="24" xfId="0" applyFont="1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3" borderId="26" xfId="0" applyFont="1" applyFill="1" applyBorder="1" applyAlignment="1" applyProtection="1">
      <alignment horizontal="center"/>
      <protection/>
    </xf>
    <xf numFmtId="0" fontId="0" fillId="3" borderId="27" xfId="0" applyFont="1" applyFill="1" applyBorder="1" applyAlignment="1" applyProtection="1">
      <alignment horizontal="center"/>
      <protection/>
    </xf>
    <xf numFmtId="0" fontId="0" fillId="3" borderId="24" xfId="0" applyFont="1" applyFill="1" applyBorder="1" applyAlignment="1" applyProtection="1">
      <alignment horizontal="center"/>
      <protection/>
    </xf>
    <xf numFmtId="0" fontId="3" fillId="3" borderId="28" xfId="0" applyFont="1" applyFill="1" applyBorder="1" applyAlignment="1" applyProtection="1">
      <alignment horizontal="center"/>
      <protection/>
    </xf>
    <xf numFmtId="0" fontId="3" fillId="3" borderId="29" xfId="0" applyFont="1" applyFill="1" applyBorder="1" applyAlignment="1" applyProtection="1">
      <alignment horizontal="center"/>
      <protection/>
    </xf>
    <xf numFmtId="0" fontId="3" fillId="3" borderId="30" xfId="0" applyFont="1" applyFill="1" applyBorder="1" applyAlignment="1" applyProtection="1">
      <alignment horizontal="center"/>
      <protection/>
    </xf>
    <xf numFmtId="2" fontId="0" fillId="3" borderId="25" xfId="0" applyNumberFormat="1" applyFont="1" applyFill="1" applyBorder="1" applyAlignment="1" applyProtection="1">
      <alignment horizontal="center"/>
      <protection/>
    </xf>
    <xf numFmtId="0" fontId="0" fillId="3" borderId="28" xfId="0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17" fillId="3" borderId="0" xfId="0" applyFont="1" applyFill="1" applyAlignment="1" applyProtection="1">
      <alignment horizontal="center" wrapText="1"/>
      <protection/>
    </xf>
    <xf numFmtId="0" fontId="0" fillId="3" borderId="0" xfId="0" applyFill="1" applyAlignment="1" applyProtection="1">
      <alignment/>
      <protection/>
    </xf>
    <xf numFmtId="0" fontId="0" fillId="3" borderId="17" xfId="0" applyFill="1" applyBorder="1" applyAlignment="1" applyProtection="1">
      <alignment horizontal="center" wrapText="1"/>
      <protection/>
    </xf>
    <xf numFmtId="0" fontId="0" fillId="3" borderId="3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3" borderId="2" xfId="0" applyNumberFormat="1" applyFill="1" applyBorder="1" applyAlignment="1" applyProtection="1">
      <alignment horizontal="center"/>
      <protection/>
    </xf>
    <xf numFmtId="2" fontId="0" fillId="4" borderId="12" xfId="0" applyNumberFormat="1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/>
      <protection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/>
      <protection/>
    </xf>
    <xf numFmtId="0" fontId="0" fillId="5" borderId="31" xfId="0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0" fontId="0" fillId="5" borderId="32" xfId="0" applyFill="1" applyBorder="1" applyAlignment="1" applyProtection="1">
      <alignment/>
      <protection/>
    </xf>
    <xf numFmtId="0" fontId="3" fillId="5" borderId="22" xfId="0" applyFont="1" applyFill="1" applyBorder="1" applyAlignment="1" applyProtection="1">
      <alignment/>
      <protection/>
    </xf>
    <xf numFmtId="0" fontId="3" fillId="5" borderId="23" xfId="0" applyFont="1" applyFill="1" applyBorder="1" applyAlignment="1" applyProtection="1">
      <alignment/>
      <protection/>
    </xf>
    <xf numFmtId="0" fontId="6" fillId="5" borderId="33" xfId="0" applyFont="1" applyFill="1" applyBorder="1" applyAlignment="1" applyProtection="1">
      <alignment/>
      <protection/>
    </xf>
    <xf numFmtId="0" fontId="15" fillId="5" borderId="0" xfId="0" applyFont="1" applyFill="1" applyBorder="1" applyAlignment="1" applyProtection="1">
      <alignment/>
      <protection/>
    </xf>
    <xf numFmtId="0" fontId="15" fillId="5" borderId="23" xfId="0" applyFont="1" applyFill="1" applyBorder="1" applyAlignment="1" applyProtection="1">
      <alignment/>
      <protection/>
    </xf>
    <xf numFmtId="0" fontId="0" fillId="5" borderId="22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23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3" fillId="5" borderId="34" xfId="0" applyFont="1" applyFill="1" applyBorder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0" fillId="5" borderId="25" xfId="0" applyFill="1" applyBorder="1" applyAlignment="1" applyProtection="1">
      <alignment/>
      <protection/>
    </xf>
    <xf numFmtId="0" fontId="3" fillId="4" borderId="3" xfId="0" applyFont="1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/>
    </xf>
    <xf numFmtId="0" fontId="3" fillId="7" borderId="17" xfId="0" applyFont="1" applyFill="1" applyBorder="1" applyAlignment="1" applyProtection="1">
      <alignment/>
      <protection/>
    </xf>
    <xf numFmtId="0" fontId="5" fillId="7" borderId="5" xfId="0" applyFont="1" applyFill="1" applyBorder="1" applyAlignment="1" applyProtection="1">
      <alignment/>
      <protection/>
    </xf>
    <xf numFmtId="0" fontId="10" fillId="6" borderId="0" xfId="0" applyNumberFormat="1" applyFon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13" fillId="6" borderId="21" xfId="0" applyFont="1" applyFill="1" applyBorder="1" applyAlignment="1" applyProtection="1">
      <alignment/>
      <protection/>
    </xf>
    <xf numFmtId="0" fontId="5" fillId="5" borderId="10" xfId="0" applyFont="1" applyFill="1" applyBorder="1" applyAlignment="1" applyProtection="1">
      <alignment/>
      <protection/>
    </xf>
    <xf numFmtId="2" fontId="14" fillId="4" borderId="35" xfId="0" applyNumberFormat="1" applyFont="1" applyFill="1" applyBorder="1" applyAlignment="1" applyProtection="1">
      <alignment/>
      <protection/>
    </xf>
    <xf numFmtId="0" fontId="13" fillId="6" borderId="25" xfId="0" applyFont="1" applyFill="1" applyBorder="1" applyAlignment="1" applyProtection="1">
      <alignment/>
      <protection/>
    </xf>
    <xf numFmtId="0" fontId="0" fillId="6" borderId="23" xfId="0" applyFill="1" applyBorder="1" applyAlignment="1" applyProtection="1">
      <alignment/>
      <protection/>
    </xf>
    <xf numFmtId="165" fontId="3" fillId="7" borderId="12" xfId="0" applyNumberFormat="1" applyFont="1" applyFill="1" applyBorder="1" applyAlignment="1" applyProtection="1">
      <alignment/>
      <protection/>
    </xf>
    <xf numFmtId="0" fontId="3" fillId="7" borderId="12" xfId="0" applyFont="1" applyFill="1" applyBorder="1" applyAlignment="1" applyProtection="1">
      <alignment/>
      <protection/>
    </xf>
    <xf numFmtId="166" fontId="3" fillId="7" borderId="12" xfId="0" applyNumberFormat="1" applyFont="1" applyFill="1" applyBorder="1" applyAlignment="1" applyProtection="1">
      <alignment/>
      <protection/>
    </xf>
    <xf numFmtId="2" fontId="0" fillId="4" borderId="36" xfId="0" applyNumberFormat="1" applyFill="1" applyBorder="1" applyAlignment="1" applyProtection="1">
      <alignment/>
      <protection/>
    </xf>
    <xf numFmtId="0" fontId="5" fillId="4" borderId="32" xfId="0" applyFont="1" applyFill="1" applyBorder="1" applyAlignment="1" applyProtection="1">
      <alignment/>
      <protection/>
    </xf>
    <xf numFmtId="0" fontId="5" fillId="4" borderId="25" xfId="0" applyFont="1" applyFill="1" applyBorder="1" applyAlignment="1" applyProtection="1">
      <alignment/>
      <protection/>
    </xf>
    <xf numFmtId="2" fontId="3" fillId="4" borderId="11" xfId="0" applyNumberFormat="1" applyFont="1" applyFill="1" applyBorder="1" applyAlignment="1" applyProtection="1">
      <alignment/>
      <protection/>
    </xf>
    <xf numFmtId="0" fontId="3" fillId="4" borderId="37" xfId="0" applyFont="1" applyFill="1" applyBorder="1" applyAlignment="1" applyProtection="1">
      <alignment/>
      <protection/>
    </xf>
    <xf numFmtId="0" fontId="3" fillId="4" borderId="9" xfId="0" applyFont="1" applyFill="1" applyBorder="1" applyAlignment="1" applyProtection="1">
      <alignment/>
      <protection/>
    </xf>
    <xf numFmtId="2" fontId="0" fillId="4" borderId="11" xfId="0" applyNumberFormat="1" applyFill="1" applyBorder="1" applyAlignment="1" applyProtection="1">
      <alignment/>
      <protection/>
    </xf>
    <xf numFmtId="0" fontId="5" fillId="6" borderId="37" xfId="0" applyFont="1" applyFill="1" applyBorder="1" applyAlignment="1" applyProtection="1">
      <alignment/>
      <protection/>
    </xf>
    <xf numFmtId="0" fontId="0" fillId="6" borderId="33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28" fillId="5" borderId="34" xfId="0" applyFont="1" applyFill="1" applyBorder="1" applyAlignment="1" applyProtection="1">
      <alignment horizontal="center"/>
      <protection/>
    </xf>
    <xf numFmtId="0" fontId="28" fillId="5" borderId="24" xfId="0" applyFont="1" applyFill="1" applyBorder="1" applyAlignment="1" applyProtection="1">
      <alignment horizontal="center"/>
      <protection/>
    </xf>
    <xf numFmtId="0" fontId="28" fillId="5" borderId="25" xfId="0" applyFont="1" applyFill="1" applyBorder="1" applyAlignment="1" applyProtection="1">
      <alignment horizontal="center"/>
      <protection/>
    </xf>
    <xf numFmtId="0" fontId="1" fillId="7" borderId="34" xfId="0" applyFont="1" applyFill="1" applyBorder="1" applyAlignment="1" applyProtection="1">
      <alignment horizontal="center"/>
      <protection/>
    </xf>
    <xf numFmtId="0" fontId="1" fillId="7" borderId="24" xfId="0" applyFont="1" applyFill="1" applyBorder="1" applyAlignment="1" applyProtection="1">
      <alignment horizontal="center"/>
      <protection/>
    </xf>
    <xf numFmtId="0" fontId="1" fillId="7" borderId="25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7" fillId="3" borderId="20" xfId="0" applyFont="1" applyFill="1" applyBorder="1" applyAlignment="1" applyProtection="1">
      <alignment horizontal="center"/>
      <protection/>
    </xf>
    <xf numFmtId="0" fontId="28" fillId="5" borderId="31" xfId="0" applyFont="1" applyFill="1" applyBorder="1" applyAlignment="1" applyProtection="1">
      <alignment horizontal="center"/>
      <protection/>
    </xf>
    <xf numFmtId="0" fontId="28" fillId="5" borderId="18" xfId="0" applyFont="1" applyFill="1" applyBorder="1" applyAlignment="1" applyProtection="1">
      <alignment horizontal="center"/>
      <protection/>
    </xf>
    <xf numFmtId="0" fontId="28" fillId="5" borderId="32" xfId="0" applyFont="1" applyFill="1" applyBorder="1" applyAlignment="1" applyProtection="1">
      <alignment horizontal="center"/>
      <protection/>
    </xf>
    <xf numFmtId="0" fontId="28" fillId="5" borderId="22" xfId="0" applyFont="1" applyFill="1" applyBorder="1" applyAlignment="1" applyProtection="1">
      <alignment horizontal="center"/>
      <protection/>
    </xf>
    <xf numFmtId="0" fontId="28" fillId="5" borderId="0" xfId="0" applyFont="1" applyFill="1" applyBorder="1" applyAlignment="1" applyProtection="1">
      <alignment horizontal="center"/>
      <protection/>
    </xf>
    <xf numFmtId="0" fontId="28" fillId="5" borderId="23" xfId="0" applyFont="1" applyFill="1" applyBorder="1" applyAlignment="1" applyProtection="1">
      <alignment horizontal="center"/>
      <protection/>
    </xf>
    <xf numFmtId="0" fontId="28" fillId="5" borderId="38" xfId="0" applyFont="1" applyFill="1" applyBorder="1" applyAlignment="1" applyProtection="1">
      <alignment horizontal="center"/>
      <protection/>
    </xf>
    <xf numFmtId="0" fontId="28" fillId="5" borderId="20" xfId="0" applyFont="1" applyFill="1" applyBorder="1" applyAlignment="1" applyProtection="1">
      <alignment horizontal="center"/>
      <protection/>
    </xf>
    <xf numFmtId="0" fontId="28" fillId="5" borderId="39" xfId="0" applyFont="1" applyFill="1" applyBorder="1" applyAlignment="1" applyProtection="1">
      <alignment horizontal="center"/>
      <protection/>
    </xf>
    <xf numFmtId="0" fontId="3" fillId="3" borderId="18" xfId="0" applyFont="1" applyFill="1" applyBorder="1" applyAlignment="1" applyProtection="1">
      <alignment horizontal="center" wrapText="1"/>
      <protection/>
    </xf>
    <xf numFmtId="0" fontId="3" fillId="3" borderId="18" xfId="0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0" fontId="3" fillId="3" borderId="24" xfId="0" applyFont="1" applyFill="1" applyBorder="1" applyAlignment="1" applyProtection="1">
      <alignment horizontal="center"/>
      <protection/>
    </xf>
    <xf numFmtId="0" fontId="1" fillId="7" borderId="15" xfId="0" applyFont="1" applyFill="1" applyBorder="1" applyAlignment="1" applyProtection="1">
      <alignment horizontal="center"/>
      <protection/>
    </xf>
    <xf numFmtId="0" fontId="1" fillId="7" borderId="16" xfId="0" applyFont="1" applyFill="1" applyBorder="1" applyAlignment="1" applyProtection="1">
      <alignment horizontal="center"/>
      <protection/>
    </xf>
    <xf numFmtId="0" fontId="1" fillId="7" borderId="4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0" fontId="1" fillId="7" borderId="31" xfId="0" applyFont="1" applyFill="1" applyBorder="1" applyAlignment="1" applyProtection="1">
      <alignment horizontal="center"/>
      <protection/>
    </xf>
    <xf numFmtId="0" fontId="1" fillId="7" borderId="18" xfId="0" applyFont="1" applyFill="1" applyBorder="1" applyAlignment="1" applyProtection="1">
      <alignment horizontal="center"/>
      <protection/>
    </xf>
    <xf numFmtId="0" fontId="1" fillId="7" borderId="32" xfId="0" applyFont="1" applyFill="1" applyBorder="1" applyAlignment="1" applyProtection="1">
      <alignment horizontal="center"/>
      <protection/>
    </xf>
    <xf numFmtId="0" fontId="1" fillId="5" borderId="31" xfId="0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1" fillId="6" borderId="31" xfId="0" applyFont="1" applyFill="1" applyBorder="1" applyAlignment="1" applyProtection="1">
      <alignment horizontal="center"/>
      <protection/>
    </xf>
    <xf numFmtId="0" fontId="0" fillId="6" borderId="18" xfId="0" applyFill="1" applyBorder="1" applyAlignment="1" applyProtection="1">
      <alignment horizontal="center"/>
      <protection/>
    </xf>
    <xf numFmtId="0" fontId="0" fillId="6" borderId="32" xfId="0" applyFill="1" applyBorder="1" applyAlignment="1" applyProtection="1">
      <alignment horizontal="center"/>
      <protection/>
    </xf>
    <xf numFmtId="0" fontId="0" fillId="6" borderId="34" xfId="0" applyFill="1" applyBorder="1" applyAlignment="1" applyProtection="1">
      <alignment horizontal="center"/>
      <protection/>
    </xf>
    <xf numFmtId="0" fontId="0" fillId="6" borderId="24" xfId="0" applyFill="1" applyBorder="1" applyAlignment="1" applyProtection="1">
      <alignment horizontal="center"/>
      <protection/>
    </xf>
    <xf numFmtId="0" fontId="0" fillId="6" borderId="25" xfId="0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/>
      <protection/>
    </xf>
    <xf numFmtId="0" fontId="7" fillId="3" borderId="19" xfId="0" applyFont="1" applyFill="1" applyBorder="1" applyAlignment="1" applyProtection="1">
      <alignment horizontal="center"/>
      <protection/>
    </xf>
    <xf numFmtId="0" fontId="7" fillId="3" borderId="20" xfId="0" applyFont="1" applyFill="1" applyBorder="1" applyAlignment="1" applyProtection="1">
      <alignment horizontal="center"/>
      <protection/>
    </xf>
    <xf numFmtId="0" fontId="7" fillId="3" borderId="21" xfId="0" applyFont="1" applyFill="1" applyBorder="1" applyAlignment="1" applyProtection="1">
      <alignment horizontal="center"/>
      <protection/>
    </xf>
    <xf numFmtId="0" fontId="11" fillId="6" borderId="31" xfId="0" applyFont="1" applyFill="1" applyBorder="1" applyAlignment="1" applyProtection="1">
      <alignment horizontal="center"/>
      <protection/>
    </xf>
    <xf numFmtId="0" fontId="11" fillId="6" borderId="18" xfId="0" applyFont="1" applyFill="1" applyBorder="1" applyAlignment="1" applyProtection="1">
      <alignment horizontal="center"/>
      <protection/>
    </xf>
    <xf numFmtId="0" fontId="11" fillId="6" borderId="34" xfId="0" applyFont="1" applyFill="1" applyBorder="1" applyAlignment="1" applyProtection="1">
      <alignment horizontal="center"/>
      <protection/>
    </xf>
    <xf numFmtId="0" fontId="11" fillId="6" borderId="24" xfId="0" applyFont="1" applyFill="1" applyBorder="1" applyAlignment="1" applyProtection="1">
      <alignment horizontal="center"/>
      <protection/>
    </xf>
    <xf numFmtId="0" fontId="11" fillId="6" borderId="4" xfId="0" applyFont="1" applyFill="1" applyBorder="1" applyAlignment="1" applyProtection="1">
      <alignment horizontal="center"/>
      <protection/>
    </xf>
    <xf numFmtId="0" fontId="11" fillId="6" borderId="0" xfId="0" applyFont="1" applyFill="1" applyBorder="1" applyAlignment="1" applyProtection="1">
      <alignment horizontal="center"/>
      <protection/>
    </xf>
    <xf numFmtId="0" fontId="11" fillId="6" borderId="19" xfId="0" applyFont="1" applyFill="1" applyBorder="1" applyAlignment="1" applyProtection="1">
      <alignment horizontal="center"/>
      <protection/>
    </xf>
    <xf numFmtId="0" fontId="11" fillId="6" borderId="20" xfId="0" applyFont="1" applyFill="1" applyBorder="1" applyAlignment="1" applyProtection="1">
      <alignment horizontal="center"/>
      <protection/>
    </xf>
    <xf numFmtId="0" fontId="7" fillId="4" borderId="31" xfId="0" applyFont="1" applyFill="1" applyBorder="1" applyAlignment="1" applyProtection="1">
      <alignment horizontal="center"/>
      <protection/>
    </xf>
    <xf numFmtId="0" fontId="7" fillId="4" borderId="18" xfId="0" applyFont="1" applyFill="1" applyBorder="1" applyAlignment="1" applyProtection="1">
      <alignment horizontal="center"/>
      <protection/>
    </xf>
    <xf numFmtId="0" fontId="7" fillId="4" borderId="32" xfId="0" applyFont="1" applyFill="1" applyBorder="1" applyAlignment="1" applyProtection="1">
      <alignment horizontal="center"/>
      <protection/>
    </xf>
    <xf numFmtId="0" fontId="7" fillId="4" borderId="22" xfId="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1" fillId="5" borderId="24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7" fillId="4" borderId="34" xfId="0" applyFont="1" applyFill="1" applyBorder="1" applyAlignment="1" applyProtection="1">
      <alignment horizontal="center"/>
      <protection/>
    </xf>
    <xf numFmtId="0" fontId="7" fillId="4" borderId="24" xfId="0" applyFont="1" applyFill="1" applyBorder="1" applyAlignment="1" applyProtection="1">
      <alignment horizontal="center"/>
      <protection/>
    </xf>
    <xf numFmtId="0" fontId="7" fillId="4" borderId="25" xfId="0" applyFont="1" applyFill="1" applyBorder="1" applyAlignment="1" applyProtection="1">
      <alignment horizontal="center"/>
      <protection/>
    </xf>
    <xf numFmtId="0" fontId="18" fillId="5" borderId="11" xfId="0" applyFont="1" applyFill="1" applyBorder="1" applyAlignment="1" applyProtection="1">
      <alignment horizontal="center"/>
      <protection/>
    </xf>
    <xf numFmtId="0" fontId="18" fillId="5" borderId="13" xfId="0" applyFont="1" applyFill="1" applyBorder="1" applyAlignment="1" applyProtection="1">
      <alignment horizontal="center"/>
      <protection/>
    </xf>
    <xf numFmtId="0" fontId="18" fillId="5" borderId="40" xfId="0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 applyProtection="1">
      <alignment horizontal="center"/>
      <protection/>
    </xf>
    <xf numFmtId="0" fontId="3" fillId="3" borderId="4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8" fillId="5" borderId="20" xfId="0" applyFont="1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40" xfId="0" applyFill="1" applyBorder="1" applyAlignment="1" applyProtection="1">
      <alignment horizontal="center"/>
      <protection/>
    </xf>
    <xf numFmtId="0" fontId="19" fillId="5" borderId="11" xfId="0" applyFont="1" applyFill="1" applyBorder="1" applyAlignment="1" applyProtection="1">
      <alignment horizontal="center"/>
      <protection/>
    </xf>
    <xf numFmtId="0" fontId="19" fillId="5" borderId="13" xfId="0" applyFont="1" applyFill="1" applyBorder="1" applyAlignment="1" applyProtection="1">
      <alignment horizontal="center"/>
      <protection/>
    </xf>
    <xf numFmtId="0" fontId="19" fillId="5" borderId="20" xfId="0" applyFont="1" applyFill="1" applyBorder="1" applyAlignment="1" applyProtection="1">
      <alignment horizontal="center"/>
      <protection/>
    </xf>
    <xf numFmtId="0" fontId="19" fillId="5" borderId="40" xfId="0" applyFont="1" applyFill="1" applyBorder="1" applyAlignment="1" applyProtection="1">
      <alignment horizontal="center"/>
      <protection/>
    </xf>
    <xf numFmtId="0" fontId="3" fillId="3" borderId="13" xfId="0" applyFont="1" applyFill="1" applyBorder="1" applyAlignment="1" applyProtection="1">
      <alignment horizontal="center"/>
      <protection/>
    </xf>
    <xf numFmtId="0" fontId="11" fillId="8" borderId="8" xfId="0" applyFont="1" applyFill="1" applyBorder="1" applyAlignment="1" applyProtection="1">
      <alignment horizontal="center"/>
      <protection/>
    </xf>
    <xf numFmtId="0" fontId="11" fillId="8" borderId="10" xfId="0" applyFont="1" applyFill="1" applyBorder="1" applyAlignment="1" applyProtection="1">
      <alignment horizontal="center"/>
      <protection/>
    </xf>
    <xf numFmtId="0" fontId="11" fillId="8" borderId="14" xfId="0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41" xfId="0" applyFont="1" applyFill="1" applyBorder="1" applyAlignment="1" applyProtection="1">
      <alignment horizontal="center"/>
      <protection/>
    </xf>
    <xf numFmtId="2" fontId="0" fillId="3" borderId="24" xfId="0" applyNumberFormat="1" applyFont="1" applyFill="1" applyBorder="1" applyAlignment="1" applyProtection="1">
      <alignment horizontal="center"/>
      <protection/>
    </xf>
    <xf numFmtId="0" fontId="29" fillId="8" borderId="0" xfId="0" applyFont="1" applyFill="1" applyBorder="1" applyAlignment="1">
      <alignment horizontal="center"/>
    </xf>
    <xf numFmtId="0" fontId="29" fillId="8" borderId="24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23" xfId="0" applyFont="1" applyFill="1" applyBorder="1" applyAlignment="1" applyProtection="1">
      <alignment horizontal="center"/>
      <protection/>
    </xf>
    <xf numFmtId="174" fontId="0" fillId="4" borderId="12" xfId="0" applyNumberFormat="1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172" fontId="0" fillId="4" borderId="12" xfId="0" applyNumberFormat="1" applyFill="1" applyBorder="1" applyAlignment="1" applyProtection="1">
      <alignment horizontal="center"/>
      <protection/>
    </xf>
    <xf numFmtId="0" fontId="18" fillId="8" borderId="8" xfId="0" applyFont="1" applyFill="1" applyBorder="1" applyAlignment="1" applyProtection="1">
      <alignment horizontal="center"/>
      <protection/>
    </xf>
    <xf numFmtId="0" fontId="18" fillId="8" borderId="10" xfId="0" applyFont="1" applyFill="1" applyBorder="1" applyAlignment="1" applyProtection="1">
      <alignment horizontal="center"/>
      <protection/>
    </xf>
    <xf numFmtId="0" fontId="18" fillId="8" borderId="14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26" fillId="6" borderId="0" xfId="0" applyFont="1" applyFill="1" applyAlignment="1" applyProtection="1">
      <alignment horizontal="center"/>
      <protection/>
    </xf>
    <xf numFmtId="174" fontId="0" fillId="4" borderId="12" xfId="0" applyNumberFormat="1" applyFill="1" applyBorder="1" applyAlignment="1" applyProtection="1">
      <alignment horizontal="center"/>
      <protection/>
    </xf>
    <xf numFmtId="0" fontId="21" fillId="8" borderId="8" xfId="0" applyFont="1" applyFill="1" applyBorder="1" applyAlignment="1" applyProtection="1">
      <alignment horizontal="center"/>
      <protection/>
    </xf>
    <xf numFmtId="0" fontId="21" fillId="8" borderId="10" xfId="0" applyFont="1" applyFill="1" applyBorder="1" applyAlignment="1" applyProtection="1">
      <alignment horizontal="center"/>
      <protection/>
    </xf>
    <xf numFmtId="0" fontId="21" fillId="8" borderId="14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24" fillId="6" borderId="0" xfId="0" applyFont="1" applyFill="1" applyAlignment="1" applyProtection="1">
      <alignment horizontal="center"/>
      <protection/>
    </xf>
    <xf numFmtId="0" fontId="17" fillId="3" borderId="4" xfId="0" applyFont="1" applyFill="1" applyBorder="1" applyAlignment="1" applyProtection="1">
      <alignment horizontal="center" vertical="center" wrapText="1"/>
      <protection/>
    </xf>
    <xf numFmtId="0" fontId="17" fillId="3" borderId="5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 applyProtection="1">
      <alignment horizontal="center"/>
      <protection/>
    </xf>
    <xf numFmtId="0" fontId="0" fillId="3" borderId="25" xfId="0" applyFont="1" applyFill="1" applyBorder="1" applyAlignment="1" applyProtection="1">
      <alignment horizontal="center"/>
      <protection/>
    </xf>
    <xf numFmtId="0" fontId="3" fillId="3" borderId="32" xfId="0" applyFont="1" applyFill="1" applyBorder="1" applyAlignment="1" applyProtection="1">
      <alignment horizontal="center"/>
      <protection/>
    </xf>
    <xf numFmtId="0" fontId="0" fillId="3" borderId="24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/>
    </xf>
    <xf numFmtId="0" fontId="0" fillId="3" borderId="44" xfId="0" applyFill="1" applyBorder="1" applyAlignment="1" applyProtection="1">
      <alignment horizontal="center"/>
      <protection/>
    </xf>
    <xf numFmtId="0" fontId="14" fillId="8" borderId="8" xfId="0" applyFont="1" applyFill="1" applyBorder="1" applyAlignment="1" applyProtection="1">
      <alignment horizontal="center"/>
      <protection/>
    </xf>
    <xf numFmtId="0" fontId="14" fillId="8" borderId="10" xfId="0" applyFont="1" applyFill="1" applyBorder="1" applyAlignment="1" applyProtection="1">
      <alignment horizontal="center"/>
      <protection/>
    </xf>
    <xf numFmtId="0" fontId="14" fillId="8" borderId="14" xfId="0" applyFont="1" applyFill="1" applyBorder="1" applyAlignment="1" applyProtection="1">
      <alignment horizontal="center"/>
      <protection/>
    </xf>
    <xf numFmtId="0" fontId="12" fillId="8" borderId="8" xfId="0" applyFont="1" applyFill="1" applyBorder="1" applyAlignment="1" applyProtection="1">
      <alignment horizontal="center"/>
      <protection/>
    </xf>
    <xf numFmtId="0" fontId="12" fillId="8" borderId="10" xfId="0" applyFont="1" applyFill="1" applyBorder="1" applyAlignment="1" applyProtection="1">
      <alignment horizontal="center"/>
      <protection/>
    </xf>
    <xf numFmtId="0" fontId="12" fillId="8" borderId="14" xfId="0" applyFont="1" applyFill="1" applyBorder="1" applyAlignment="1" applyProtection="1">
      <alignment horizontal="center"/>
      <protection/>
    </xf>
    <xf numFmtId="0" fontId="17" fillId="3" borderId="43" xfId="0" applyFont="1" applyFill="1" applyBorder="1" applyAlignment="1" applyProtection="1">
      <alignment horizontal="center"/>
      <protection/>
    </xf>
    <xf numFmtId="0" fontId="17" fillId="3" borderId="44" xfId="0" applyFont="1" applyFill="1" applyBorder="1" applyAlignment="1" applyProtection="1">
      <alignment horizontal="center"/>
      <protection/>
    </xf>
    <xf numFmtId="0" fontId="0" fillId="3" borderId="45" xfId="0" applyFill="1" applyBorder="1" applyAlignment="1" applyProtection="1">
      <alignment horizontal="center"/>
      <protection hidden="1"/>
    </xf>
    <xf numFmtId="0" fontId="0" fillId="3" borderId="46" xfId="0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165" fontId="0" fillId="3" borderId="0" xfId="0" applyNumberFormat="1" applyFill="1" applyBorder="1" applyAlignment="1" applyProtection="1">
      <alignment horizontal="center"/>
      <protection/>
    </xf>
    <xf numFmtId="165" fontId="0" fillId="3" borderId="0" xfId="0" applyNumberFormat="1" applyFill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/>
    </xf>
    <xf numFmtId="0" fontId="0" fillId="3" borderId="46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 wrapText="1"/>
      <protection/>
    </xf>
    <xf numFmtId="0" fontId="0" fillId="3" borderId="18" xfId="0" applyFill="1" applyBorder="1" applyAlignment="1" applyProtection="1">
      <alignment horizontal="center" wrapText="1"/>
      <protection/>
    </xf>
    <xf numFmtId="0" fontId="0" fillId="3" borderId="41" xfId="0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5"/>
  <sheetViews>
    <sheetView tabSelected="1" zoomScale="75" zoomScaleNormal="75" workbookViewId="0" topLeftCell="A1">
      <selection activeCell="B18" sqref="B18"/>
    </sheetView>
  </sheetViews>
  <sheetFormatPr defaultColWidth="9.140625" defaultRowHeight="12.75"/>
  <cols>
    <col min="1" max="1" width="27.28125" style="0" customWidth="1"/>
    <col min="2" max="2" width="15.28125" style="0" customWidth="1"/>
    <col min="4" max="4" width="10.00390625" style="0" customWidth="1"/>
    <col min="5" max="5" width="39.00390625" style="0" customWidth="1"/>
    <col min="6" max="6" width="10.140625" style="0" customWidth="1"/>
    <col min="7" max="7" width="10.57421875" style="0" customWidth="1"/>
    <col min="9" max="9" width="10.57421875" style="0" customWidth="1"/>
    <col min="10" max="10" width="9.8515625" style="0" customWidth="1"/>
    <col min="12" max="12" width="4.140625" style="0" customWidth="1"/>
  </cols>
  <sheetData>
    <row r="1" spans="1:14" ht="14.25" customHeight="1" thickTop="1">
      <c r="A1" s="219" t="s">
        <v>2</v>
      </c>
      <c r="B1" s="220"/>
      <c r="C1" s="221"/>
      <c r="D1" s="216" t="s">
        <v>9</v>
      </c>
      <c r="E1" s="217"/>
      <c r="F1" s="218"/>
      <c r="G1" s="242" t="s">
        <v>11</v>
      </c>
      <c r="H1" s="243"/>
      <c r="I1" s="244"/>
      <c r="J1" s="23"/>
      <c r="K1" s="23"/>
      <c r="L1" s="23"/>
      <c r="M1" s="23"/>
      <c r="N1" s="23"/>
    </row>
    <row r="2" spans="1:14" ht="14.25" customHeight="1" thickBot="1">
      <c r="A2" s="222"/>
      <c r="B2" s="223"/>
      <c r="C2" s="224"/>
      <c r="D2" s="208"/>
      <c r="E2" s="209"/>
      <c r="F2" s="210"/>
      <c r="G2" s="245"/>
      <c r="H2" s="246"/>
      <c r="I2" s="247"/>
      <c r="J2" s="23"/>
      <c r="K2" s="23"/>
      <c r="L2" s="23"/>
      <c r="M2" s="23"/>
      <c r="N2" s="23"/>
    </row>
    <row r="3" spans="1:14" ht="14.25" customHeight="1" thickBot="1" thickTop="1">
      <c r="A3" s="24" t="s">
        <v>5</v>
      </c>
      <c r="B3" s="25">
        <f>17*0.0000000001</f>
        <v>1.7000000000000001E-09</v>
      </c>
      <c r="C3" s="26" t="s">
        <v>6</v>
      </c>
      <c r="D3" s="27" t="s">
        <v>8</v>
      </c>
      <c r="E3" s="28">
        <f>SQRT((2*B3)/(2*PI()*B11*B5))*1000</f>
        <v>0.3295512752155583</v>
      </c>
      <c r="F3" s="29" t="s">
        <v>1</v>
      </c>
      <c r="G3" s="30"/>
      <c r="H3" s="30"/>
      <c r="I3" s="30"/>
      <c r="J3" s="23"/>
      <c r="K3" s="23"/>
      <c r="L3" s="23"/>
      <c r="M3" s="23"/>
      <c r="N3" s="23"/>
    </row>
    <row r="4" spans="1:14" ht="14.25" customHeight="1" thickBot="1" thickTop="1">
      <c r="A4" s="31" t="s">
        <v>3</v>
      </c>
      <c r="B4" s="32">
        <f>B11</f>
        <v>39650</v>
      </c>
      <c r="C4" s="33" t="s">
        <v>0</v>
      </c>
      <c r="D4" s="225" t="s">
        <v>161</v>
      </c>
      <c r="E4" s="226"/>
      <c r="F4" s="226"/>
      <c r="G4" s="35" t="s">
        <v>12</v>
      </c>
      <c r="H4" s="35"/>
      <c r="I4" s="1">
        <v>400</v>
      </c>
      <c r="J4" s="35" t="s">
        <v>1</v>
      </c>
      <c r="K4" s="23"/>
      <c r="L4" s="23"/>
      <c r="M4" s="23"/>
      <c r="N4" s="23"/>
    </row>
    <row r="5" spans="1:14" ht="14.25" customHeight="1" thickBot="1" thickTop="1">
      <c r="A5" s="36" t="s">
        <v>53</v>
      </c>
      <c r="B5" s="37">
        <f>4*PI()*0.00000001</f>
        <v>1.2566370614359172E-07</v>
      </c>
      <c r="C5" s="38" t="s">
        <v>7</v>
      </c>
      <c r="D5" s="227"/>
      <c r="E5" s="227"/>
      <c r="F5" s="227"/>
      <c r="G5" s="35" t="s">
        <v>13</v>
      </c>
      <c r="H5" s="35"/>
      <c r="I5" s="1">
        <v>260</v>
      </c>
      <c r="J5" s="35" t="s">
        <v>1</v>
      </c>
      <c r="K5" s="39">
        <f>(I4/1000)*(I5/1000)</f>
        <v>0.10400000000000001</v>
      </c>
      <c r="L5" s="183" t="s">
        <v>14</v>
      </c>
      <c r="M5" s="23"/>
      <c r="N5" s="23"/>
    </row>
    <row r="6" spans="1:14" ht="14.25" customHeight="1" thickBot="1" thickTop="1">
      <c r="A6" s="35"/>
      <c r="B6" s="35"/>
      <c r="C6" s="23"/>
      <c r="D6" s="228"/>
      <c r="E6" s="228"/>
      <c r="F6" s="228"/>
      <c r="G6" s="40" t="s">
        <v>15</v>
      </c>
      <c r="H6" s="40"/>
      <c r="I6" s="1">
        <v>1.6</v>
      </c>
      <c r="J6" s="35" t="s">
        <v>1</v>
      </c>
      <c r="K6" s="39">
        <f>I6/1000</f>
        <v>0.0016</v>
      </c>
      <c r="L6" s="184" t="s">
        <v>16</v>
      </c>
      <c r="M6" s="23"/>
      <c r="N6" s="23"/>
    </row>
    <row r="7" spans="1:14" ht="14.25" customHeight="1" thickBot="1" thickTop="1">
      <c r="A7" s="23"/>
      <c r="B7" s="23"/>
      <c r="C7" s="23"/>
      <c r="D7" s="236" t="s">
        <v>10</v>
      </c>
      <c r="E7" s="237"/>
      <c r="F7" s="238"/>
      <c r="G7" s="40" t="s">
        <v>17</v>
      </c>
      <c r="H7" s="40"/>
      <c r="I7" s="41">
        <f>B13</f>
        <v>300</v>
      </c>
      <c r="J7" s="35" t="s">
        <v>18</v>
      </c>
      <c r="K7" s="23"/>
      <c r="L7" s="23"/>
      <c r="M7" s="23"/>
      <c r="N7" s="23"/>
    </row>
    <row r="8" spans="1:14" ht="14.25" customHeight="1" thickBot="1" thickTop="1">
      <c r="A8" s="23"/>
      <c r="B8" s="23"/>
      <c r="C8" s="23"/>
      <c r="D8" s="239"/>
      <c r="E8" s="240"/>
      <c r="F8" s="241"/>
      <c r="G8" s="40" t="s">
        <v>19</v>
      </c>
      <c r="H8" s="35"/>
      <c r="I8" s="1">
        <v>80</v>
      </c>
      <c r="J8" s="35"/>
      <c r="K8" s="23"/>
      <c r="L8" s="23"/>
      <c r="M8" s="23"/>
      <c r="N8" s="23"/>
    </row>
    <row r="9" spans="1:14" ht="14.25" customHeight="1" thickBot="1" thickTop="1">
      <c r="A9" s="23"/>
      <c r="B9" s="23"/>
      <c r="C9" s="23"/>
      <c r="D9" s="42"/>
      <c r="E9" s="43">
        <f>2*PI()*B11*(B15/1000)</f>
        <v>1522.1738972952871</v>
      </c>
      <c r="F9" s="44" t="s">
        <v>26</v>
      </c>
      <c r="G9" s="40" t="s">
        <v>20</v>
      </c>
      <c r="H9" s="35"/>
      <c r="I9" s="45">
        <f>I7/J14</f>
        <v>3.441019834889993</v>
      </c>
      <c r="J9" s="46" t="s">
        <v>21</v>
      </c>
      <c r="K9" s="47"/>
      <c r="L9" s="23"/>
      <c r="M9" s="23"/>
      <c r="N9" s="23"/>
    </row>
    <row r="10" spans="1:14" ht="14.25" customHeight="1" thickBot="1" thickTop="1">
      <c r="A10" s="168"/>
      <c r="B10" s="169"/>
      <c r="C10" s="170"/>
      <c r="D10" s="23"/>
      <c r="E10" s="23"/>
      <c r="F10" s="23"/>
      <c r="G10" s="23"/>
      <c r="H10" s="23"/>
      <c r="I10" s="23"/>
      <c r="J10" s="23"/>
      <c r="K10" s="47"/>
      <c r="L10" s="23"/>
      <c r="M10" s="23"/>
      <c r="N10" s="23"/>
    </row>
    <row r="11" spans="1:14" ht="14.25" customHeight="1" thickBot="1" thickTop="1">
      <c r="A11" s="171" t="s">
        <v>4</v>
      </c>
      <c r="B11" s="1">
        <v>39650</v>
      </c>
      <c r="C11" s="172" t="s">
        <v>0</v>
      </c>
      <c r="D11" s="78" t="s">
        <v>44</v>
      </c>
      <c r="E11" s="49">
        <f>E12/1000</f>
        <v>0.00611</v>
      </c>
      <c r="F11" s="78" t="s">
        <v>29</v>
      </c>
      <c r="G11" s="229" t="s">
        <v>22</v>
      </c>
      <c r="H11" s="230"/>
      <c r="I11" s="230"/>
      <c r="J11" s="51">
        <f>(8.854*0.001)*I8*K5/K6</f>
        <v>46.0408</v>
      </c>
      <c r="K11" s="186" t="s">
        <v>23</v>
      </c>
      <c r="L11" s="52"/>
      <c r="M11" s="23"/>
      <c r="N11" s="23"/>
    </row>
    <row r="12" spans="1:14" ht="14.25" customHeight="1" thickBot="1" thickTop="1">
      <c r="A12" s="171"/>
      <c r="B12" s="70"/>
      <c r="C12" s="172"/>
      <c r="D12" s="74" t="s">
        <v>44</v>
      </c>
      <c r="E12" s="54">
        <f>B15</f>
        <v>6.11</v>
      </c>
      <c r="F12" s="74" t="s">
        <v>28</v>
      </c>
      <c r="G12" s="231"/>
      <c r="H12" s="232"/>
      <c r="I12" s="232"/>
      <c r="J12" s="56">
        <f>(8.854*0.000001)*I8*K5/K6</f>
        <v>0.0460408</v>
      </c>
      <c r="K12" s="187" t="s">
        <v>24</v>
      </c>
      <c r="L12" s="23"/>
      <c r="M12" s="23"/>
      <c r="N12" s="23"/>
    </row>
    <row r="13" spans="1:14" ht="14.25" customHeight="1" thickBot="1" thickTop="1">
      <c r="A13" s="171" t="s">
        <v>34</v>
      </c>
      <c r="B13" s="1">
        <v>300</v>
      </c>
      <c r="C13" s="172" t="s">
        <v>18</v>
      </c>
      <c r="D13" s="75" t="s">
        <v>44</v>
      </c>
      <c r="E13" s="58">
        <f>E12*1000</f>
        <v>6110</v>
      </c>
      <c r="F13" s="185" t="s">
        <v>46</v>
      </c>
      <c r="G13" s="257" t="s">
        <v>25</v>
      </c>
      <c r="H13" s="258"/>
      <c r="I13" s="258"/>
      <c r="J13" s="188">
        <f>(8.854*0.000000000001)*I8*K5/K6</f>
        <v>4.604079999999999E-08</v>
      </c>
      <c r="K13" s="189"/>
      <c r="L13" s="23"/>
      <c r="M13" s="23"/>
      <c r="N13" s="23"/>
    </row>
    <row r="14" spans="1:14" ht="14.25" customHeight="1" thickBot="1" thickTop="1">
      <c r="A14" s="171"/>
      <c r="B14" s="70"/>
      <c r="C14" s="172"/>
      <c r="D14" s="23"/>
      <c r="E14" s="23"/>
      <c r="F14" s="23"/>
      <c r="G14" s="259"/>
      <c r="H14" s="260"/>
      <c r="I14" s="260"/>
      <c r="J14" s="72">
        <f>1/(2*PI()*B11*J13)</f>
        <v>87.18345560178696</v>
      </c>
      <c r="K14" s="190" t="s">
        <v>26</v>
      </c>
      <c r="L14" s="23"/>
      <c r="M14" s="23"/>
      <c r="N14" s="23"/>
    </row>
    <row r="15" spans="1:14" ht="14.25" customHeight="1" thickBot="1" thickTop="1">
      <c r="A15" s="171" t="s">
        <v>38</v>
      </c>
      <c r="B15" s="1">
        <v>6.11</v>
      </c>
      <c r="C15" s="173" t="s">
        <v>28</v>
      </c>
      <c r="D15" s="78" t="s">
        <v>43</v>
      </c>
      <c r="E15" s="60">
        <f>1/(B15/1000000000*(4*(PI()^2)*(B11*B11)))</f>
        <v>0.00263701542235294</v>
      </c>
      <c r="F15" s="61" t="s">
        <v>24</v>
      </c>
      <c r="G15" s="23"/>
      <c r="H15" s="23"/>
      <c r="I15" s="23"/>
      <c r="J15" s="23"/>
      <c r="K15" s="47"/>
      <c r="L15" s="23"/>
      <c r="M15" s="23"/>
      <c r="N15" s="23"/>
    </row>
    <row r="16" spans="1:14" ht="14.25" customHeight="1" thickBot="1" thickTop="1">
      <c r="A16" s="171"/>
      <c r="B16" s="174">
        <f>B15/1000</f>
        <v>0.00611</v>
      </c>
      <c r="C16" s="175" t="s">
        <v>29</v>
      </c>
      <c r="D16" s="74" t="s">
        <v>43</v>
      </c>
      <c r="E16" s="62">
        <f>1/(B15/1000000000000*(4*(PI()^2)*(B11*B11)))</f>
        <v>2.63701542235294</v>
      </c>
      <c r="F16" s="55" t="s">
        <v>23</v>
      </c>
      <c r="G16" s="23"/>
      <c r="H16" s="23"/>
      <c r="I16" s="23"/>
      <c r="J16" s="23"/>
      <c r="K16" s="47"/>
      <c r="L16" s="23"/>
      <c r="M16" s="23"/>
      <c r="N16" s="23"/>
    </row>
    <row r="17" spans="1:14" ht="14.25" customHeight="1" thickBot="1" thickTop="1">
      <c r="A17" s="171" t="s">
        <v>37</v>
      </c>
      <c r="B17" s="1">
        <v>2.6</v>
      </c>
      <c r="C17" s="172" t="s">
        <v>23</v>
      </c>
      <c r="D17" s="74" t="s">
        <v>43</v>
      </c>
      <c r="E17" s="63">
        <f>1/(B15/1000000000000000*(4*(PI()^2)*(B11*B11)))</f>
        <v>2637.01542235294</v>
      </c>
      <c r="F17" s="55" t="s">
        <v>45</v>
      </c>
      <c r="G17" s="23"/>
      <c r="H17" s="23"/>
      <c r="I17" s="23"/>
      <c r="J17" s="23"/>
      <c r="K17" s="47"/>
      <c r="L17" s="23"/>
      <c r="M17" s="23"/>
      <c r="N17" s="23"/>
    </row>
    <row r="18" spans="1:14" ht="14.25" customHeight="1" thickTop="1">
      <c r="A18" s="176"/>
      <c r="B18" s="64">
        <f>B17/1000000000</f>
        <v>2.6E-09</v>
      </c>
      <c r="C18" s="172"/>
      <c r="D18" s="214" t="s">
        <v>47</v>
      </c>
      <c r="E18" s="214"/>
      <c r="F18" s="214"/>
      <c r="G18" s="233" t="s">
        <v>41</v>
      </c>
      <c r="H18" s="234"/>
      <c r="I18" s="235"/>
      <c r="J18" s="23"/>
      <c r="K18" s="23"/>
      <c r="L18" s="23"/>
      <c r="M18" s="23"/>
      <c r="N18" s="23"/>
    </row>
    <row r="19" spans="1:14" ht="14.25" customHeight="1" thickBot="1">
      <c r="A19" s="176"/>
      <c r="B19" s="177"/>
      <c r="C19" s="178"/>
      <c r="D19" s="215"/>
      <c r="E19" s="215"/>
      <c r="F19" s="215"/>
      <c r="G19" s="211"/>
      <c r="H19" s="212"/>
      <c r="I19" s="213"/>
      <c r="J19" s="23"/>
      <c r="K19" s="23"/>
      <c r="L19" s="23"/>
      <c r="M19" s="23"/>
      <c r="N19" s="23"/>
    </row>
    <row r="20" spans="1:14" ht="14.25" customHeight="1" thickBot="1">
      <c r="A20" s="171" t="s">
        <v>50</v>
      </c>
      <c r="B20" s="65">
        <f>(B13*E9)/(E9-E23)</f>
        <v>-21072.297718576086</v>
      </c>
      <c r="C20" s="172" t="s">
        <v>18</v>
      </c>
      <c r="D20" s="66"/>
      <c r="E20" s="66"/>
      <c r="F20" s="66"/>
      <c r="G20" s="67"/>
      <c r="H20" s="67"/>
      <c r="I20" s="67"/>
      <c r="J20" s="68"/>
      <c r="K20" s="23"/>
      <c r="L20" s="23"/>
      <c r="M20" s="23"/>
      <c r="N20" s="23"/>
    </row>
    <row r="21" spans="1:14" ht="14.25" customHeight="1" thickBot="1" thickTop="1">
      <c r="A21" s="171" t="s">
        <v>51</v>
      </c>
      <c r="B21" s="70"/>
      <c r="C21" s="172"/>
      <c r="D21" s="267" t="s">
        <v>36</v>
      </c>
      <c r="E21" s="267"/>
      <c r="F21" s="268"/>
      <c r="G21" s="35" t="s">
        <v>27</v>
      </c>
      <c r="H21" s="23"/>
      <c r="I21" s="23"/>
      <c r="J21" s="195">
        <f>1/(4*(PI()^2)*(B11*B11)*J13/1000)</f>
        <v>0.3499540457719341</v>
      </c>
      <c r="K21" s="196" t="s">
        <v>28</v>
      </c>
      <c r="L21" s="23"/>
      <c r="M21" s="23"/>
      <c r="N21" s="23"/>
    </row>
    <row r="22" spans="1:14" ht="14.25" customHeight="1" thickBot="1">
      <c r="A22" s="171" t="s">
        <v>52</v>
      </c>
      <c r="B22" s="69">
        <f>(B13*E23)/(E23-E9)</f>
        <v>21372.297718576086</v>
      </c>
      <c r="C22" s="172" t="s">
        <v>18</v>
      </c>
      <c r="D22" s="269"/>
      <c r="E22" s="270"/>
      <c r="F22" s="271"/>
      <c r="G22" s="35"/>
      <c r="H22" s="23"/>
      <c r="I22" s="23"/>
      <c r="J22" s="197">
        <f>1/(4*(PI()^2)*(B11*B11)*J13)</f>
        <v>0.0003499540457719341</v>
      </c>
      <c r="K22" s="196" t="s">
        <v>29</v>
      </c>
      <c r="L22" s="23"/>
      <c r="M22" s="23"/>
      <c r="N22" s="23"/>
    </row>
    <row r="23" spans="1:14" ht="14.25" customHeight="1" thickBot="1" thickTop="1">
      <c r="A23" s="171" t="s">
        <v>51</v>
      </c>
      <c r="B23" s="179"/>
      <c r="C23" s="178"/>
      <c r="D23" s="167"/>
      <c r="E23" s="63">
        <f>1/(2*PI()*B11*B18)</f>
        <v>1543.8446317964435</v>
      </c>
      <c r="F23" s="191" t="s">
        <v>26</v>
      </c>
      <c r="G23" s="253" t="s">
        <v>30</v>
      </c>
      <c r="H23" s="254"/>
      <c r="I23" s="254"/>
      <c r="J23" s="59"/>
      <c r="K23" s="194"/>
      <c r="L23" s="23"/>
      <c r="M23" s="23"/>
      <c r="N23" s="23"/>
    </row>
    <row r="24" spans="1:14" ht="14.25" customHeight="1" thickBot="1" thickTop="1">
      <c r="A24" s="171" t="s">
        <v>54</v>
      </c>
      <c r="B24" s="69">
        <f>E9-E23</f>
        <v>-21.670734501156403</v>
      </c>
      <c r="C24" s="44" t="s">
        <v>26</v>
      </c>
      <c r="D24" s="71"/>
      <c r="E24" s="71"/>
      <c r="F24" s="71"/>
      <c r="G24" s="255"/>
      <c r="H24" s="256"/>
      <c r="I24" s="256"/>
      <c r="J24" s="192">
        <f>2*PI()*B11*J22</f>
        <v>87.18345560178696</v>
      </c>
      <c r="K24" s="193" t="s">
        <v>26</v>
      </c>
      <c r="L24" s="23"/>
      <c r="M24" s="23"/>
      <c r="N24" s="23"/>
    </row>
    <row r="25" spans="1:14" ht="14.25" customHeight="1" thickBot="1" thickTop="1">
      <c r="A25" s="180"/>
      <c r="B25" s="181"/>
      <c r="C25" s="182"/>
      <c r="D25" s="78" t="s">
        <v>43</v>
      </c>
      <c r="E25" s="49">
        <f>E26/1000</f>
        <v>0.0026</v>
      </c>
      <c r="F25" s="61" t="s">
        <v>24</v>
      </c>
      <c r="G25" s="35" t="s">
        <v>39</v>
      </c>
      <c r="H25" s="23"/>
      <c r="I25" s="23"/>
      <c r="J25" s="198">
        <f>2*PI()*B11*(J28/1000)</f>
        <v>43.59172780089348</v>
      </c>
      <c r="K25" s="199" t="s">
        <v>26</v>
      </c>
      <c r="L25" s="23"/>
      <c r="M25" s="23"/>
      <c r="N25" s="23"/>
    </row>
    <row r="26" spans="1:14" ht="14.25" customHeight="1" thickBot="1" thickTop="1">
      <c r="A26" s="261" t="s">
        <v>99</v>
      </c>
      <c r="B26" s="262"/>
      <c r="C26" s="263"/>
      <c r="D26" s="74" t="s">
        <v>43</v>
      </c>
      <c r="E26" s="54">
        <f>B17</f>
        <v>2.6</v>
      </c>
      <c r="F26" s="55" t="s">
        <v>23</v>
      </c>
      <c r="G26" s="35" t="s">
        <v>40</v>
      </c>
      <c r="H26" s="23"/>
      <c r="I26" s="23"/>
      <c r="J26" s="15">
        <v>44.31</v>
      </c>
      <c r="K26" s="200" t="s">
        <v>26</v>
      </c>
      <c r="L26" s="23"/>
      <c r="M26" s="23"/>
      <c r="N26" s="23"/>
    </row>
    <row r="27" spans="1:14" ht="14.25" customHeight="1" thickBot="1" thickTop="1">
      <c r="A27" s="264"/>
      <c r="B27" s="265"/>
      <c r="C27" s="266"/>
      <c r="D27" s="75" t="s">
        <v>43</v>
      </c>
      <c r="E27" s="58">
        <f>E26*1000</f>
        <v>2600</v>
      </c>
      <c r="F27" s="76" t="s">
        <v>45</v>
      </c>
      <c r="G27" s="35"/>
      <c r="H27" s="23"/>
      <c r="I27" s="23"/>
      <c r="J27" s="23"/>
      <c r="K27" s="23"/>
      <c r="L27" s="23"/>
      <c r="M27" s="23"/>
      <c r="N27" s="23"/>
    </row>
    <row r="28" spans="1:14" ht="14.25" customHeight="1" thickBot="1" thickTop="1">
      <c r="A28" s="264" t="str">
        <f>IF(B24&gt;=1,A30,B30)</f>
        <v>Kapacitív jellegű</v>
      </c>
      <c r="B28" s="265"/>
      <c r="C28" s="266"/>
      <c r="D28" s="71"/>
      <c r="E28" s="71"/>
      <c r="F28" s="71"/>
      <c r="G28" s="35" t="s">
        <v>31</v>
      </c>
      <c r="H28" s="23"/>
      <c r="I28" s="23"/>
      <c r="J28" s="201">
        <f>J21/2</f>
        <v>0.17497702288596706</v>
      </c>
      <c r="K28" s="202" t="s">
        <v>28</v>
      </c>
      <c r="L28" s="77"/>
      <c r="M28" s="68"/>
      <c r="N28" s="23"/>
    </row>
    <row r="29" spans="1:14" ht="14.25" customHeight="1" thickBot="1">
      <c r="A29" s="272"/>
      <c r="B29" s="273"/>
      <c r="C29" s="274"/>
      <c r="D29" s="78" t="s">
        <v>44</v>
      </c>
      <c r="E29" s="79">
        <f>1/(4*(PI()^2)*(B11*B11)*(B17/1000)/1000000)</f>
        <v>0.006196986242529409</v>
      </c>
      <c r="F29" s="50" t="s">
        <v>29</v>
      </c>
      <c r="G29" s="35" t="s">
        <v>32</v>
      </c>
      <c r="H29" s="23"/>
      <c r="I29" s="23"/>
      <c r="J29" s="201">
        <f>J21/2</f>
        <v>0.17497702288596706</v>
      </c>
      <c r="K29" s="203" t="s">
        <v>28</v>
      </c>
      <c r="L29" s="77"/>
      <c r="M29" s="68"/>
      <c r="N29" s="23"/>
    </row>
    <row r="30" spans="1:14" ht="14.25" customHeight="1" thickBot="1" thickTop="1">
      <c r="A30" s="80" t="s">
        <v>55</v>
      </c>
      <c r="B30" s="80" t="s">
        <v>56</v>
      </c>
      <c r="C30" s="23"/>
      <c r="D30" s="53" t="s">
        <v>44</v>
      </c>
      <c r="E30" s="63">
        <f>1/(4*(PI()^2)*(B11*B11)*(B17/1000000)/1000000)</f>
        <v>6.196986242529409</v>
      </c>
      <c r="F30" s="55" t="s">
        <v>28</v>
      </c>
      <c r="G30" s="35"/>
      <c r="H30" s="23"/>
      <c r="I30" s="23"/>
      <c r="J30" s="81"/>
      <c r="K30" s="23"/>
      <c r="L30" s="82"/>
      <c r="M30" s="23"/>
      <c r="N30" s="23"/>
    </row>
    <row r="31" spans="1:14" ht="14.25" customHeight="1" thickBot="1" thickTop="1">
      <c r="A31" s="296" t="s">
        <v>162</v>
      </c>
      <c r="B31" s="296"/>
      <c r="C31" s="296"/>
      <c r="D31" s="53" t="s">
        <v>44</v>
      </c>
      <c r="E31" s="63">
        <f>1/(4*(PI()^2)*(B11*B11)*(B17/1000000000)/1000000)</f>
        <v>6196.9862425294095</v>
      </c>
      <c r="F31" s="83" t="s">
        <v>46</v>
      </c>
      <c r="G31" s="35" t="s">
        <v>33</v>
      </c>
      <c r="H31" s="23"/>
      <c r="I31" s="23"/>
      <c r="J31" s="204">
        <f>J14-J25-J26</f>
        <v>-0.7182721991065222</v>
      </c>
      <c r="K31" s="205" t="s">
        <v>26</v>
      </c>
      <c r="L31" s="82"/>
      <c r="M31" s="23"/>
      <c r="N31" s="23"/>
    </row>
    <row r="32" spans="1:14" ht="14.25" customHeight="1" thickBot="1">
      <c r="A32" s="297"/>
      <c r="B32" s="297"/>
      <c r="C32" s="297"/>
      <c r="D32" s="248" t="s">
        <v>48</v>
      </c>
      <c r="E32" s="248"/>
      <c r="F32" s="249"/>
      <c r="G32" s="35" t="s">
        <v>49</v>
      </c>
      <c r="H32" s="23"/>
      <c r="I32" s="23"/>
      <c r="J32" s="204">
        <f>(I7*(J25+J26))/((J25+J26)-J14)</f>
        <v>36713.82293936899</v>
      </c>
      <c r="K32" s="206" t="s">
        <v>18</v>
      </c>
      <c r="L32" s="82"/>
      <c r="M32" s="84"/>
      <c r="N32" s="23"/>
    </row>
    <row r="33" spans="1:14" ht="14.25" customHeight="1" thickBot="1" thickTop="1">
      <c r="A33" s="4" t="s">
        <v>74</v>
      </c>
      <c r="B33" s="8" t="s">
        <v>75</v>
      </c>
      <c r="C33" s="5" t="s">
        <v>163</v>
      </c>
      <c r="D33" s="250"/>
      <c r="E33" s="251"/>
      <c r="F33" s="252"/>
      <c r="G33" s="35" t="s">
        <v>35</v>
      </c>
      <c r="H33" s="23"/>
      <c r="I33" s="23"/>
      <c r="J33" s="204">
        <f>(I7*J14)/(J14-(J25+J26))</f>
        <v>-36413.82293936899</v>
      </c>
      <c r="K33" s="207" t="s">
        <v>18</v>
      </c>
      <c r="L33" s="23"/>
      <c r="M33" s="85"/>
      <c r="N33" s="23"/>
    </row>
    <row r="34" spans="1:14" ht="14.25" customHeight="1" thickBot="1" thickTop="1">
      <c r="A34" s="165">
        <v>16.5</v>
      </c>
      <c r="B34" s="166">
        <v>5</v>
      </c>
      <c r="C34" s="162">
        <f>PI()*(A34^2-(B34^2))/400</f>
        <v>1.9418969590001907</v>
      </c>
      <c r="D34" s="47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4.25" customHeight="1" thickBot="1" thickTop="1">
      <c r="A35" s="160" t="s">
        <v>164</v>
      </c>
      <c r="B35" s="161" t="s">
        <v>165</v>
      </c>
      <c r="C35" s="164"/>
      <c r="D35" s="47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4.25" customHeight="1" thickBot="1" thickTop="1">
      <c r="A36" s="165">
        <v>0</v>
      </c>
      <c r="B36" s="166">
        <v>0</v>
      </c>
      <c r="C36" s="163">
        <f>A36*B36</f>
        <v>0</v>
      </c>
      <c r="D36" s="47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4.25" thickBot="1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8.75" thickBot="1">
      <c r="A38" s="23"/>
      <c r="B38" s="275" t="s">
        <v>101</v>
      </c>
      <c r="C38" s="276"/>
      <c r="D38" s="276"/>
      <c r="E38" s="276"/>
      <c r="F38" s="276"/>
      <c r="G38" s="277"/>
      <c r="H38" s="86"/>
      <c r="I38" s="23"/>
      <c r="J38" s="23"/>
      <c r="K38" s="23"/>
      <c r="L38" s="23"/>
      <c r="M38" s="23"/>
      <c r="N38" s="23"/>
    </row>
    <row r="39" spans="1:14" ht="13.5" thickBot="1">
      <c r="A39" s="23"/>
      <c r="B39" s="278" t="s">
        <v>57</v>
      </c>
      <c r="C39" s="279"/>
      <c r="D39" s="278" t="s">
        <v>58</v>
      </c>
      <c r="E39" s="279"/>
      <c r="F39" s="278" t="s">
        <v>42</v>
      </c>
      <c r="G39" s="279"/>
      <c r="H39" s="87"/>
      <c r="I39" s="280" t="s">
        <v>59</v>
      </c>
      <c r="J39" s="281"/>
      <c r="K39" s="23"/>
      <c r="L39" s="23"/>
      <c r="M39" s="23"/>
      <c r="N39" s="23"/>
    </row>
    <row r="40" spans="1:14" ht="13.5" thickBot="1">
      <c r="A40" s="23"/>
      <c r="B40" s="88">
        <f>B41*10^-12+B42*10^-9+B43*10^-6</f>
        <v>2.6E-09</v>
      </c>
      <c r="C40" s="89" t="s">
        <v>42</v>
      </c>
      <c r="D40" s="88">
        <f>D41*10^-9+D42*10^-6+D43*10^-3</f>
        <v>0.006110000000000001</v>
      </c>
      <c r="E40" s="89" t="s">
        <v>29</v>
      </c>
      <c r="F40" s="88">
        <f>IF((B40*D40)=0,0,1/(2*PI()*(B40*D40)^0.5))</f>
        <v>39931.245132333206</v>
      </c>
      <c r="G40" s="89" t="s">
        <v>0</v>
      </c>
      <c r="H40" s="87"/>
      <c r="I40" s="90">
        <f>IF(B40*D40=0,0,(D40/B40)^0.5)</f>
        <v>1532.9709716755892</v>
      </c>
      <c r="J40" s="91" t="s">
        <v>60</v>
      </c>
      <c r="K40" s="23"/>
      <c r="L40" s="23"/>
      <c r="M40" s="23"/>
      <c r="N40" s="23"/>
    </row>
    <row r="41" spans="1:14" ht="13.5" thickBot="1">
      <c r="A41" s="23"/>
      <c r="B41" s="88"/>
      <c r="C41" s="89" t="s">
        <v>45</v>
      </c>
      <c r="D41" s="88"/>
      <c r="E41" s="50" t="s">
        <v>61</v>
      </c>
      <c r="F41" s="92">
        <f>F40</f>
        <v>39931.245132333206</v>
      </c>
      <c r="G41" s="50" t="s">
        <v>0</v>
      </c>
      <c r="H41" s="84"/>
      <c r="I41" s="73">
        <f>I40</f>
        <v>1532.9709716755892</v>
      </c>
      <c r="J41" s="93" t="s">
        <v>60</v>
      </c>
      <c r="K41" s="23"/>
      <c r="L41" s="23"/>
      <c r="M41" s="23"/>
      <c r="N41" s="23"/>
    </row>
    <row r="42" spans="1:14" ht="13.5" thickBot="1">
      <c r="A42" s="23"/>
      <c r="B42" s="94">
        <f>B17</f>
        <v>2.6</v>
      </c>
      <c r="C42" s="95" t="s">
        <v>23</v>
      </c>
      <c r="D42" s="94"/>
      <c r="E42" s="55" t="s">
        <v>62</v>
      </c>
      <c r="F42" s="92">
        <f>F41/1000</f>
        <v>39.9312451323332</v>
      </c>
      <c r="G42" s="55" t="s">
        <v>63</v>
      </c>
      <c r="H42" s="84"/>
      <c r="I42" s="73">
        <f>I41/1000</f>
        <v>1.5329709716755893</v>
      </c>
      <c r="J42" s="91" t="s">
        <v>64</v>
      </c>
      <c r="K42" s="23"/>
      <c r="L42" s="23"/>
      <c r="M42" s="23"/>
      <c r="N42" s="23"/>
    </row>
    <row r="43" spans="1:14" ht="13.5" thickBot="1">
      <c r="A43" s="23"/>
      <c r="B43" s="96"/>
      <c r="C43" s="97" t="s">
        <v>65</v>
      </c>
      <c r="D43" s="96">
        <f>B15</f>
        <v>6.11</v>
      </c>
      <c r="E43" s="76" t="s">
        <v>28</v>
      </c>
      <c r="F43" s="92">
        <f>F42/1000</f>
        <v>0.039931245132333204</v>
      </c>
      <c r="G43" s="76" t="s">
        <v>66</v>
      </c>
      <c r="H43" s="84"/>
      <c r="I43" s="73">
        <f>I42/1000</f>
        <v>0.0015329709716755892</v>
      </c>
      <c r="J43" s="98" t="s">
        <v>67</v>
      </c>
      <c r="K43" s="23"/>
      <c r="L43" s="23"/>
      <c r="M43" s="23"/>
      <c r="N43" s="23"/>
    </row>
    <row r="44" spans="1:14" ht="18.75" thickBot="1">
      <c r="A44" s="23"/>
      <c r="B44" s="275" t="s">
        <v>100</v>
      </c>
      <c r="C44" s="276"/>
      <c r="D44" s="276"/>
      <c r="E44" s="276"/>
      <c r="F44" s="282"/>
      <c r="G44" s="277"/>
      <c r="H44" s="86"/>
      <c r="I44" s="23"/>
      <c r="J44" s="23"/>
      <c r="K44" s="23"/>
      <c r="L44" s="23"/>
      <c r="M44" s="23"/>
      <c r="N44" s="23"/>
    </row>
    <row r="45" spans="1:14" ht="13.5" hidden="1" thickBot="1">
      <c r="A45" s="23"/>
      <c r="B45" s="278" t="s">
        <v>42</v>
      </c>
      <c r="C45" s="279"/>
      <c r="D45" s="278" t="s">
        <v>58</v>
      </c>
      <c r="E45" s="279"/>
      <c r="F45" s="278" t="s">
        <v>57</v>
      </c>
      <c r="G45" s="279"/>
      <c r="H45" s="87"/>
      <c r="I45" s="23"/>
      <c r="J45" s="23"/>
      <c r="K45" s="23"/>
      <c r="L45" s="23"/>
      <c r="M45" s="23"/>
      <c r="N45" s="23"/>
    </row>
    <row r="46" spans="1:14" ht="13.5" hidden="1" thickBot="1">
      <c r="A46" s="23"/>
      <c r="B46" s="88">
        <f>B47+B48*10^3+B49*10^6</f>
        <v>39650</v>
      </c>
      <c r="C46" s="99" t="s">
        <v>0</v>
      </c>
      <c r="D46" s="88">
        <f>D47*10^-9+D48*10^-6+D49*10^-3</f>
        <v>0.006110000000000001</v>
      </c>
      <c r="E46" s="99" t="s">
        <v>29</v>
      </c>
      <c r="F46" s="88">
        <f>IF(B46*D46=0,0,1/(D46*(2*PI()*B46)^2))</f>
        <v>2.63701542235294E-09</v>
      </c>
      <c r="G46" s="99" t="s">
        <v>42</v>
      </c>
      <c r="H46" s="87"/>
      <c r="I46" s="23"/>
      <c r="J46" s="23"/>
      <c r="K46" s="23"/>
      <c r="L46" s="23"/>
      <c r="M46" s="23"/>
      <c r="N46" s="23"/>
    </row>
    <row r="47" spans="1:14" ht="13.5" thickBot="1">
      <c r="A47" s="23"/>
      <c r="B47" s="100">
        <f>B11</f>
        <v>39650</v>
      </c>
      <c r="C47" s="50" t="s">
        <v>0</v>
      </c>
      <c r="D47" s="88"/>
      <c r="E47" s="50" t="s">
        <v>61</v>
      </c>
      <c r="F47" s="101">
        <f>F46*10^12</f>
        <v>2637.01542235294</v>
      </c>
      <c r="G47" s="102" t="s">
        <v>45</v>
      </c>
      <c r="H47" s="103"/>
      <c r="I47" s="23"/>
      <c r="J47" s="23"/>
      <c r="K47" s="23"/>
      <c r="L47" s="23"/>
      <c r="M47" s="23"/>
      <c r="N47" s="23"/>
    </row>
    <row r="48" spans="1:14" ht="13.5" thickBot="1">
      <c r="A48" s="23"/>
      <c r="B48" s="104"/>
      <c r="C48" s="55" t="s">
        <v>63</v>
      </c>
      <c r="D48" s="94"/>
      <c r="E48" s="55" t="s">
        <v>62</v>
      </c>
      <c r="F48" s="101">
        <f>F47/1000</f>
        <v>2.6370154223529396</v>
      </c>
      <c r="G48" s="105" t="s">
        <v>23</v>
      </c>
      <c r="H48" s="103"/>
      <c r="I48" s="23"/>
      <c r="J48" s="23"/>
      <c r="K48" s="23"/>
      <c r="L48" s="23"/>
      <c r="M48" s="23"/>
      <c r="N48" s="23"/>
    </row>
    <row r="49" spans="1:14" ht="13.5" thickBot="1">
      <c r="A49" s="23"/>
      <c r="B49" s="106"/>
      <c r="C49" s="76" t="s">
        <v>66</v>
      </c>
      <c r="D49" s="96">
        <f>B15</f>
        <v>6.11</v>
      </c>
      <c r="E49" s="76" t="s">
        <v>28</v>
      </c>
      <c r="F49" s="101">
        <f>F48/1000</f>
        <v>0.0026370154223529394</v>
      </c>
      <c r="G49" s="107" t="s">
        <v>65</v>
      </c>
      <c r="H49" s="103"/>
      <c r="I49" s="23"/>
      <c r="J49" s="23"/>
      <c r="K49" s="23"/>
      <c r="L49" s="23"/>
      <c r="M49" s="23"/>
      <c r="N49" s="23"/>
    </row>
    <row r="50" spans="1:14" ht="18.75" thickBot="1">
      <c r="A50" s="23"/>
      <c r="B50" s="275" t="s">
        <v>102</v>
      </c>
      <c r="C50" s="276"/>
      <c r="D50" s="276"/>
      <c r="E50" s="276"/>
      <c r="F50" s="282"/>
      <c r="G50" s="277"/>
      <c r="H50" s="86"/>
      <c r="I50" s="23"/>
      <c r="J50" s="23"/>
      <c r="K50" s="23"/>
      <c r="L50" s="23"/>
      <c r="M50" s="23"/>
      <c r="N50" s="23"/>
    </row>
    <row r="51" spans="1:14" ht="13.5" hidden="1" thickBot="1">
      <c r="A51" s="23"/>
      <c r="B51" s="278" t="s">
        <v>42</v>
      </c>
      <c r="C51" s="279"/>
      <c r="D51" s="278" t="s">
        <v>57</v>
      </c>
      <c r="E51" s="279"/>
      <c r="F51" s="278" t="s">
        <v>58</v>
      </c>
      <c r="G51" s="279"/>
      <c r="H51" s="87"/>
      <c r="I51" s="23"/>
      <c r="J51" s="23"/>
      <c r="K51" s="23"/>
      <c r="L51" s="23"/>
      <c r="M51" s="23"/>
      <c r="N51" s="23"/>
    </row>
    <row r="52" spans="1:14" ht="13.5" hidden="1" thickBot="1">
      <c r="A52" s="23"/>
      <c r="B52" s="88">
        <f>B53+B54*10^3+B55*10^6</f>
        <v>39650</v>
      </c>
      <c r="C52" s="99" t="s">
        <v>0</v>
      </c>
      <c r="D52" s="88">
        <f>D53*10^-12+D54*10^-9+D55*10^-6</f>
        <v>2.6E-09</v>
      </c>
      <c r="E52" s="99" t="s">
        <v>42</v>
      </c>
      <c r="F52" s="88">
        <f>IF(B52*D52=0,0,1/(D52*(2*PI()*B52)^2))</f>
        <v>0.006196986242529409</v>
      </c>
      <c r="G52" s="99" t="s">
        <v>29</v>
      </c>
      <c r="H52" s="87"/>
      <c r="I52" s="23"/>
      <c r="J52" s="23"/>
      <c r="K52" s="23"/>
      <c r="L52" s="23"/>
      <c r="M52" s="23"/>
      <c r="N52" s="23"/>
    </row>
    <row r="53" spans="1:14" ht="13.5" thickBot="1">
      <c r="A53" s="23"/>
      <c r="B53" s="100">
        <f>B11</f>
        <v>39650</v>
      </c>
      <c r="C53" s="50" t="s">
        <v>0</v>
      </c>
      <c r="D53" s="88"/>
      <c r="E53" s="89" t="s">
        <v>45</v>
      </c>
      <c r="F53" s="108">
        <f>F52*10^9</f>
        <v>6196986.242529409</v>
      </c>
      <c r="G53" s="50" t="s">
        <v>61</v>
      </c>
      <c r="H53" s="84"/>
      <c r="I53" s="23"/>
      <c r="J53" s="23"/>
      <c r="K53" s="23"/>
      <c r="L53" s="23"/>
      <c r="M53" s="23"/>
      <c r="N53" s="23"/>
    </row>
    <row r="54" spans="1:14" ht="13.5" thickBot="1">
      <c r="A54" s="23"/>
      <c r="B54" s="104"/>
      <c r="C54" s="55" t="s">
        <v>63</v>
      </c>
      <c r="D54" s="94">
        <f>B17</f>
        <v>2.6</v>
      </c>
      <c r="E54" s="95" t="s">
        <v>23</v>
      </c>
      <c r="F54" s="101">
        <f>F53/1000</f>
        <v>6196.986242529409</v>
      </c>
      <c r="G54" s="55" t="s">
        <v>62</v>
      </c>
      <c r="H54" s="84"/>
      <c r="I54" s="23"/>
      <c r="J54" s="23"/>
      <c r="K54" s="23"/>
      <c r="L54" s="23"/>
      <c r="M54" s="23"/>
      <c r="N54" s="23"/>
    </row>
    <row r="55" spans="1:14" ht="13.5" thickBot="1">
      <c r="A55" s="23"/>
      <c r="B55" s="106"/>
      <c r="C55" s="76" t="s">
        <v>66</v>
      </c>
      <c r="D55" s="96"/>
      <c r="E55" s="97" t="s">
        <v>65</v>
      </c>
      <c r="F55" s="101">
        <f>F54/1000</f>
        <v>6.196986242529409</v>
      </c>
      <c r="G55" s="76" t="s">
        <v>28</v>
      </c>
      <c r="H55" s="84"/>
      <c r="I55" s="23"/>
      <c r="J55" s="23"/>
      <c r="K55" s="23"/>
      <c r="L55" s="23"/>
      <c r="M55" s="23"/>
      <c r="N55" s="23"/>
    </row>
    <row r="56" spans="1:14" ht="21" customHeight="1" thickBot="1">
      <c r="A56" s="23"/>
      <c r="B56" s="285" t="s">
        <v>103</v>
      </c>
      <c r="C56" s="286"/>
      <c r="D56" s="286"/>
      <c r="E56" s="286"/>
      <c r="F56" s="287"/>
      <c r="G56" s="288"/>
      <c r="H56" s="84"/>
      <c r="I56" s="23"/>
      <c r="J56" s="23"/>
      <c r="K56" s="23"/>
      <c r="L56" s="23"/>
      <c r="M56" s="23"/>
      <c r="N56" s="23"/>
    </row>
    <row r="57" spans="1:14" ht="13.5" customHeight="1" hidden="1" thickBot="1">
      <c r="A57" s="23"/>
      <c r="B57" s="278" t="s">
        <v>57</v>
      </c>
      <c r="C57" s="289"/>
      <c r="D57" s="278" t="s">
        <v>42</v>
      </c>
      <c r="E57" s="279"/>
      <c r="F57" s="278" t="s">
        <v>68</v>
      </c>
      <c r="G57" s="279"/>
      <c r="H57" s="84"/>
      <c r="I57" s="283" t="s">
        <v>69</v>
      </c>
      <c r="J57" s="284"/>
      <c r="K57" s="283" t="s">
        <v>70</v>
      </c>
      <c r="L57" s="284"/>
      <c r="M57" s="23"/>
      <c r="N57" s="23"/>
    </row>
    <row r="58" spans="1:14" ht="12.75" customHeight="1" hidden="1">
      <c r="A58" s="23"/>
      <c r="B58" s="88">
        <f>B59*10^-12+B60*10^-9+B61*10^-6</f>
        <v>2.6E-09</v>
      </c>
      <c r="C58" s="54" t="s">
        <v>42</v>
      </c>
      <c r="D58" s="88">
        <f>D59+D60*10^3+D61*10^6</f>
        <v>39650</v>
      </c>
      <c r="E58" s="109" t="s">
        <v>0</v>
      </c>
      <c r="F58" s="53">
        <f>IF(B58*D58=0,0,1/(2*PI()*B58*D58))</f>
        <v>1543.8446317964433</v>
      </c>
      <c r="G58" s="55" t="s">
        <v>60</v>
      </c>
      <c r="H58" s="84"/>
      <c r="I58" s="90"/>
      <c r="J58" s="110"/>
      <c r="K58" s="90"/>
      <c r="L58" s="110"/>
      <c r="M58" s="23"/>
      <c r="N58" s="23"/>
    </row>
    <row r="59" spans="1:14" ht="13.5" thickBot="1">
      <c r="A59" s="23"/>
      <c r="B59" s="94"/>
      <c r="C59" s="111" t="s">
        <v>45</v>
      </c>
      <c r="D59" s="94">
        <f>B11</f>
        <v>39650</v>
      </c>
      <c r="E59" s="95" t="s">
        <v>0</v>
      </c>
      <c r="F59" s="101">
        <f>F58</f>
        <v>1543.8446317964433</v>
      </c>
      <c r="G59" s="95" t="s">
        <v>60</v>
      </c>
      <c r="H59" s="87"/>
      <c r="I59" s="112">
        <f>B13</f>
        <v>300</v>
      </c>
      <c r="J59" s="113" t="s">
        <v>18</v>
      </c>
      <c r="K59" s="114"/>
      <c r="L59" s="87"/>
      <c r="M59" s="23"/>
      <c r="N59" s="23"/>
    </row>
    <row r="60" spans="1:14" ht="13.5" thickBot="1">
      <c r="A60" s="23"/>
      <c r="B60" s="94">
        <f>B17</f>
        <v>2.6</v>
      </c>
      <c r="C60" s="111" t="s">
        <v>23</v>
      </c>
      <c r="D60" s="94"/>
      <c r="E60" s="95" t="s">
        <v>63</v>
      </c>
      <c r="F60" s="101">
        <f>F59/1000</f>
        <v>1.5438446317964434</v>
      </c>
      <c r="G60" s="95" t="s">
        <v>64</v>
      </c>
      <c r="H60" s="87"/>
      <c r="I60" s="115">
        <f>I59/1000</f>
        <v>0.3</v>
      </c>
      <c r="J60" s="110" t="s">
        <v>71</v>
      </c>
      <c r="K60" s="114"/>
      <c r="L60" s="87"/>
      <c r="M60" s="23"/>
      <c r="N60" s="23"/>
    </row>
    <row r="61" spans="1:14" ht="13.5" thickBot="1">
      <c r="A61" s="23"/>
      <c r="B61" s="57"/>
      <c r="C61" s="116" t="s">
        <v>65</v>
      </c>
      <c r="D61" s="57"/>
      <c r="E61" s="97" t="s">
        <v>66</v>
      </c>
      <c r="F61" s="101">
        <f>F60/1000</f>
        <v>0.0015438446317964434</v>
      </c>
      <c r="G61" s="97" t="s">
        <v>67</v>
      </c>
      <c r="H61" s="84"/>
      <c r="I61" s="117"/>
      <c r="J61" s="118"/>
      <c r="K61" s="119"/>
      <c r="L61" s="84"/>
      <c r="M61" s="23"/>
      <c r="N61" s="23"/>
    </row>
    <row r="62" spans="1:14" ht="21" thickBot="1">
      <c r="A62" s="23"/>
      <c r="B62" s="285" t="s">
        <v>104</v>
      </c>
      <c r="C62" s="286"/>
      <c r="D62" s="286"/>
      <c r="E62" s="286"/>
      <c r="F62" s="287"/>
      <c r="G62" s="288"/>
      <c r="H62" s="84"/>
      <c r="I62" s="23"/>
      <c r="J62" s="23"/>
      <c r="K62" s="23"/>
      <c r="L62" s="23"/>
      <c r="M62" s="23"/>
      <c r="N62" s="23"/>
    </row>
    <row r="63" spans="1:14" ht="13.5" hidden="1" thickBot="1">
      <c r="A63" s="23"/>
      <c r="B63" s="278" t="s">
        <v>58</v>
      </c>
      <c r="C63" s="279"/>
      <c r="D63" s="278" t="s">
        <v>42</v>
      </c>
      <c r="E63" s="279"/>
      <c r="F63" s="278" t="s">
        <v>73</v>
      </c>
      <c r="G63" s="279"/>
      <c r="H63" s="84"/>
      <c r="I63" s="23"/>
      <c r="J63" s="23"/>
      <c r="K63" s="23"/>
      <c r="L63" s="23"/>
      <c r="M63" s="23"/>
      <c r="N63" s="23"/>
    </row>
    <row r="64" spans="1:14" ht="13.5" hidden="1" thickBot="1">
      <c r="A64" s="23"/>
      <c r="B64" s="88">
        <f>B65*10^-9+B66*10^-6+B67*10^-3</f>
        <v>0.006110000000000001</v>
      </c>
      <c r="C64" s="99" t="s">
        <v>29</v>
      </c>
      <c r="D64" s="88">
        <f>D65+D66*10^3+D67*10^6</f>
        <v>39650</v>
      </c>
      <c r="E64" s="109" t="s">
        <v>0</v>
      </c>
      <c r="F64" s="48">
        <f>2*PI()*D64*B64</f>
        <v>1522.1738972952874</v>
      </c>
      <c r="G64" s="89" t="s">
        <v>60</v>
      </c>
      <c r="H64" s="68"/>
      <c r="I64" s="23"/>
      <c r="J64" s="23"/>
      <c r="K64" s="23"/>
      <c r="L64" s="23"/>
      <c r="M64" s="23"/>
      <c r="N64" s="23"/>
    </row>
    <row r="65" spans="1:14" ht="13.5" thickBot="1">
      <c r="A65" s="23"/>
      <c r="B65" s="88"/>
      <c r="C65" s="50" t="s">
        <v>61</v>
      </c>
      <c r="D65" s="94">
        <f>B11</f>
        <v>39650</v>
      </c>
      <c r="E65" s="95" t="s">
        <v>0</v>
      </c>
      <c r="F65" s="92">
        <f>F64</f>
        <v>1522.1738972952874</v>
      </c>
      <c r="G65" s="95" t="s">
        <v>60</v>
      </c>
      <c r="H65" s="68"/>
      <c r="I65" s="120">
        <f>I59/F59</f>
        <v>0.19432007199514306</v>
      </c>
      <c r="J65" s="113" t="s">
        <v>21</v>
      </c>
      <c r="K65" s="23"/>
      <c r="L65" s="23"/>
      <c r="M65" s="23"/>
      <c r="N65" s="23"/>
    </row>
    <row r="66" spans="1:14" ht="13.5" thickBot="1">
      <c r="A66" s="23"/>
      <c r="B66" s="94"/>
      <c r="C66" s="55" t="s">
        <v>62</v>
      </c>
      <c r="D66" s="94"/>
      <c r="E66" s="95" t="s">
        <v>63</v>
      </c>
      <c r="F66" s="92">
        <f>F65/1000</f>
        <v>1.5221738972952874</v>
      </c>
      <c r="G66" s="95" t="s">
        <v>64</v>
      </c>
      <c r="H66" s="68"/>
      <c r="I66" s="120">
        <f>I65*1000</f>
        <v>194.32007199514305</v>
      </c>
      <c r="J66" s="110" t="s">
        <v>72</v>
      </c>
      <c r="K66" s="23"/>
      <c r="L66" s="23"/>
      <c r="M66" s="23"/>
      <c r="N66" s="23"/>
    </row>
    <row r="67" spans="1:14" ht="13.5" thickBot="1">
      <c r="A67" s="23"/>
      <c r="B67" s="96">
        <f>B15</f>
        <v>6.11</v>
      </c>
      <c r="C67" s="76" t="s">
        <v>28</v>
      </c>
      <c r="D67" s="57"/>
      <c r="E67" s="97" t="s">
        <v>66</v>
      </c>
      <c r="F67" s="92">
        <f>F66/1000</f>
        <v>0.0015221738972952875</v>
      </c>
      <c r="G67" s="97" t="s">
        <v>67</v>
      </c>
      <c r="H67" s="68"/>
      <c r="I67" s="117"/>
      <c r="J67" s="118"/>
      <c r="K67" s="23"/>
      <c r="L67" s="23"/>
      <c r="M67" s="23"/>
      <c r="N67" s="23"/>
    </row>
    <row r="68" spans="1:14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24.75" customHeight="1" thickBot="1">
      <c r="A69" s="315" t="s">
        <v>136</v>
      </c>
      <c r="B69" s="315"/>
      <c r="C69" s="315"/>
      <c r="D69" s="315"/>
      <c r="E69" s="315"/>
      <c r="F69" s="315"/>
      <c r="G69" s="315"/>
      <c r="H69" s="23"/>
      <c r="I69" s="23"/>
      <c r="J69" s="23"/>
      <c r="K69" s="23"/>
      <c r="L69" s="23"/>
      <c r="M69" s="23"/>
      <c r="N69" s="23"/>
    </row>
    <row r="70" spans="1:14" ht="17.25" customHeight="1" thickBot="1" thickTop="1">
      <c r="A70" s="304" t="s">
        <v>105</v>
      </c>
      <c r="B70" s="305"/>
      <c r="C70" s="305"/>
      <c r="D70" s="305"/>
      <c r="E70" s="305"/>
      <c r="F70" s="305"/>
      <c r="G70" s="306"/>
      <c r="H70" s="23"/>
      <c r="I70" s="23"/>
      <c r="J70" s="23"/>
      <c r="K70" s="23"/>
      <c r="L70" s="23"/>
      <c r="M70" s="23"/>
      <c r="N70" s="23"/>
    </row>
    <row r="71" spans="1:14" ht="39" thickTop="1">
      <c r="A71" s="121" t="s">
        <v>106</v>
      </c>
      <c r="B71" s="122" t="s">
        <v>107</v>
      </c>
      <c r="C71" s="121" t="s">
        <v>137</v>
      </c>
      <c r="D71" s="122" t="s">
        <v>3</v>
      </c>
      <c r="E71" s="121" t="s">
        <v>108</v>
      </c>
      <c r="F71" s="313" t="s">
        <v>108</v>
      </c>
      <c r="G71" s="314"/>
      <c r="H71" s="23"/>
      <c r="I71" s="23"/>
      <c r="J71" s="23"/>
      <c r="K71" s="23"/>
      <c r="L71" s="23"/>
      <c r="M71" s="23"/>
      <c r="N71" s="23"/>
    </row>
    <row r="72" spans="1:14" ht="18" customHeight="1">
      <c r="A72" s="123" t="s">
        <v>109</v>
      </c>
      <c r="B72" s="122" t="s">
        <v>110</v>
      </c>
      <c r="C72" s="121" t="s">
        <v>21</v>
      </c>
      <c r="D72" s="122" t="s">
        <v>42</v>
      </c>
      <c r="E72" s="123" t="s">
        <v>111</v>
      </c>
      <c r="F72" s="316" t="s">
        <v>112</v>
      </c>
      <c r="G72" s="317"/>
      <c r="H72" s="23"/>
      <c r="I72" s="23"/>
      <c r="J72" s="23"/>
      <c r="K72" s="23"/>
      <c r="L72" s="23"/>
      <c r="M72" s="23"/>
      <c r="N72" s="23"/>
    </row>
    <row r="73" spans="1:14" ht="13.5" thickBot="1">
      <c r="A73" s="124" t="s">
        <v>113</v>
      </c>
      <c r="B73" s="125" t="s">
        <v>114</v>
      </c>
      <c r="C73" s="124" t="s">
        <v>115</v>
      </c>
      <c r="D73" s="125" t="s">
        <v>116</v>
      </c>
      <c r="E73" s="124" t="s">
        <v>117</v>
      </c>
      <c r="F73" s="301" t="s">
        <v>117</v>
      </c>
      <c r="G73" s="302"/>
      <c r="H73" s="23"/>
      <c r="I73" s="23"/>
      <c r="J73" s="23"/>
      <c r="K73" s="23"/>
      <c r="L73" s="23"/>
      <c r="M73" s="23"/>
      <c r="N73" s="23"/>
    </row>
    <row r="74" spans="1:14" ht="14.25" thickBot="1" thickTop="1">
      <c r="A74" s="6">
        <v>180</v>
      </c>
      <c r="B74" s="6">
        <v>0.218</v>
      </c>
      <c r="C74" s="6">
        <v>0.86</v>
      </c>
      <c r="D74" s="10">
        <v>35000</v>
      </c>
      <c r="E74" s="126">
        <f>A74/(4.44*B74*C74*D74)*10000</f>
        <v>61.7826519256005</v>
      </c>
      <c r="F74" s="309">
        <f>A74/(4*B74*C74*D74)*10000</f>
        <v>68.57874363741655</v>
      </c>
      <c r="G74" s="309"/>
      <c r="H74" s="23"/>
      <c r="I74" s="23"/>
      <c r="J74" s="23"/>
      <c r="K74" s="23"/>
      <c r="L74" s="23"/>
      <c r="M74" s="23"/>
      <c r="N74" s="23"/>
    </row>
    <row r="75" spans="1:14" ht="17.25" customHeight="1" thickBot="1" thickTop="1">
      <c r="A75" s="310" t="s">
        <v>138</v>
      </c>
      <c r="B75" s="311"/>
      <c r="C75" s="311"/>
      <c r="D75" s="311"/>
      <c r="E75" s="311"/>
      <c r="F75" s="311"/>
      <c r="G75" s="312"/>
      <c r="H75" s="23"/>
      <c r="I75" s="23"/>
      <c r="J75" s="23"/>
      <c r="K75" s="23"/>
      <c r="L75" s="23"/>
      <c r="M75" s="23"/>
      <c r="N75" s="23"/>
    </row>
    <row r="76" spans="1:14" ht="39" thickTop="1">
      <c r="A76" s="121" t="s">
        <v>106</v>
      </c>
      <c r="B76" s="121" t="s">
        <v>108</v>
      </c>
      <c r="C76" s="121" t="s">
        <v>137</v>
      </c>
      <c r="D76" s="122" t="s">
        <v>3</v>
      </c>
      <c r="E76" s="121" t="s">
        <v>118</v>
      </c>
      <c r="F76" s="313" t="s">
        <v>118</v>
      </c>
      <c r="G76" s="314"/>
      <c r="H76" s="23"/>
      <c r="I76" s="23"/>
      <c r="J76" s="23"/>
      <c r="K76" s="23"/>
      <c r="L76" s="23"/>
      <c r="M76" s="23"/>
      <c r="N76" s="23"/>
    </row>
    <row r="77" spans="1:14" ht="15" thickBot="1">
      <c r="A77" s="124" t="s">
        <v>113</v>
      </c>
      <c r="B77" s="125" t="s">
        <v>119</v>
      </c>
      <c r="C77" s="124" t="s">
        <v>139</v>
      </c>
      <c r="D77" s="125" t="s">
        <v>116</v>
      </c>
      <c r="E77" s="124" t="s">
        <v>120</v>
      </c>
      <c r="F77" s="301" t="s">
        <v>121</v>
      </c>
      <c r="G77" s="302"/>
      <c r="H77" s="23"/>
      <c r="I77" s="23"/>
      <c r="J77" s="23"/>
      <c r="K77" s="23"/>
      <c r="L77" s="23"/>
      <c r="M77" s="23"/>
      <c r="N77" s="23"/>
    </row>
    <row r="78" spans="1:14" ht="14.25" thickBot="1" thickTop="1">
      <c r="A78" s="6">
        <v>310</v>
      </c>
      <c r="B78" s="6">
        <v>77</v>
      </c>
      <c r="C78" s="6">
        <v>1.5</v>
      </c>
      <c r="D78" s="10">
        <v>60000</v>
      </c>
      <c r="E78" s="127">
        <f>A78/(4.44*B78*C78*D78)*10000</f>
        <v>0.10075010075010073</v>
      </c>
      <c r="F78" s="303">
        <f>A78/(4*B78*C78*D78)*10000</f>
        <v>0.11183261183261184</v>
      </c>
      <c r="G78" s="303"/>
      <c r="H78" s="23"/>
      <c r="I78" s="23"/>
      <c r="J78" s="23"/>
      <c r="K78" s="23"/>
      <c r="L78" s="23"/>
      <c r="M78" s="23"/>
      <c r="N78" s="23"/>
    </row>
    <row r="79" spans="1:14" ht="17.25" customHeight="1" thickBot="1" thickTop="1">
      <c r="A79" s="304" t="s">
        <v>148</v>
      </c>
      <c r="B79" s="305"/>
      <c r="C79" s="305"/>
      <c r="D79" s="305"/>
      <c r="E79" s="305"/>
      <c r="F79" s="305"/>
      <c r="G79" s="306"/>
      <c r="H79" s="23"/>
      <c r="I79" s="23"/>
      <c r="J79" s="23"/>
      <c r="K79" s="23"/>
      <c r="L79" s="23"/>
      <c r="M79" s="23"/>
      <c r="N79" s="23"/>
    </row>
    <row r="80" spans="1:14" ht="14.25" thickBot="1" thickTop="1">
      <c r="A80" s="128" t="s">
        <v>123</v>
      </c>
      <c r="B80" s="129" t="s">
        <v>122</v>
      </c>
      <c r="C80" s="130" t="s">
        <v>124</v>
      </c>
      <c r="D80" s="129" t="s">
        <v>125</v>
      </c>
      <c r="E80" s="298" t="s">
        <v>126</v>
      </c>
      <c r="F80" s="307"/>
      <c r="G80" s="299"/>
      <c r="H80" s="131"/>
      <c r="I80" s="131"/>
      <c r="J80" s="131"/>
      <c r="K80" s="23"/>
      <c r="L80" s="23"/>
      <c r="M80" s="23"/>
      <c r="N80" s="23"/>
    </row>
    <row r="81" spans="1:14" ht="12.75">
      <c r="A81" s="128"/>
      <c r="B81" s="129"/>
      <c r="C81" s="130"/>
      <c r="D81" s="129"/>
      <c r="E81" s="132" t="s">
        <v>127</v>
      </c>
      <c r="F81" s="298" t="s">
        <v>128</v>
      </c>
      <c r="G81" s="299"/>
      <c r="H81" s="131"/>
      <c r="I81" s="131"/>
      <c r="J81" s="131"/>
      <c r="K81" s="23"/>
      <c r="L81" s="23"/>
      <c r="M81" s="23"/>
      <c r="N81" s="23"/>
    </row>
    <row r="82" spans="1:14" ht="13.5" thickBot="1">
      <c r="A82" s="128" t="s">
        <v>21</v>
      </c>
      <c r="B82" s="129" t="s">
        <v>129</v>
      </c>
      <c r="C82" s="130" t="s">
        <v>130</v>
      </c>
      <c r="D82" s="129" t="s">
        <v>1</v>
      </c>
      <c r="E82" s="129" t="s">
        <v>1</v>
      </c>
      <c r="F82" s="298" t="s">
        <v>131</v>
      </c>
      <c r="G82" s="299"/>
      <c r="H82" s="131"/>
      <c r="I82" s="131"/>
      <c r="J82" s="131"/>
      <c r="K82" s="23"/>
      <c r="L82" s="23"/>
      <c r="M82" s="23"/>
      <c r="N82" s="23"/>
    </row>
    <row r="83" spans="1:14" ht="14.25" thickBot="1" thickTop="1">
      <c r="A83" s="7">
        <v>15</v>
      </c>
      <c r="B83" s="16">
        <v>4</v>
      </c>
      <c r="C83" s="133">
        <f>A83/B83</f>
        <v>3.75</v>
      </c>
      <c r="D83" s="133">
        <f>2*(A83/B83/3.1415)^0.5</f>
        <v>2.185129083940082</v>
      </c>
      <c r="E83" s="17">
        <v>1</v>
      </c>
      <c r="F83" s="300">
        <f>4*A83/B83/(E83^2)/3.14159</f>
        <v>4.774652325733148</v>
      </c>
      <c r="G83" s="300"/>
      <c r="H83" s="131"/>
      <c r="I83" s="131"/>
      <c r="J83" s="131"/>
      <c r="K83" s="23"/>
      <c r="L83" s="23"/>
      <c r="M83" s="23"/>
      <c r="N83" s="23"/>
    </row>
    <row r="84" spans="1:14" ht="17.25" customHeight="1" thickBot="1" thickTop="1">
      <c r="A84" s="290" t="s">
        <v>147</v>
      </c>
      <c r="B84" s="291"/>
      <c r="C84" s="291"/>
      <c r="D84" s="291"/>
      <c r="E84" s="291"/>
      <c r="F84" s="291"/>
      <c r="G84" s="292"/>
      <c r="H84" s="131"/>
      <c r="I84" s="131"/>
      <c r="J84" s="131"/>
      <c r="K84" s="23"/>
      <c r="L84" s="23"/>
      <c r="M84" s="23"/>
      <c r="N84" s="23"/>
    </row>
    <row r="85" spans="1:14" ht="14.25" thickBot="1" thickTop="1">
      <c r="A85" s="128" t="s">
        <v>132</v>
      </c>
      <c r="B85" s="129" t="s">
        <v>133</v>
      </c>
      <c r="C85" s="130" t="s">
        <v>134</v>
      </c>
      <c r="D85" s="129" t="s">
        <v>135</v>
      </c>
      <c r="E85" s="134" t="s">
        <v>134</v>
      </c>
      <c r="F85" s="135"/>
      <c r="G85" s="136"/>
      <c r="H85" s="131"/>
      <c r="I85" s="131"/>
      <c r="J85" s="131"/>
      <c r="K85" s="23"/>
      <c r="L85" s="23"/>
      <c r="M85" s="23"/>
      <c r="N85" s="23"/>
    </row>
    <row r="86" spans="1:14" ht="14.25" thickBot="1" thickTop="1">
      <c r="A86" s="7">
        <v>0.9</v>
      </c>
      <c r="B86" s="16">
        <v>2.2</v>
      </c>
      <c r="C86" s="137">
        <f>B86/A86/A86/44</f>
        <v>0.0617283950617284</v>
      </c>
      <c r="D86" s="21">
        <v>16</v>
      </c>
      <c r="E86" s="138">
        <f>IF(D86&gt;1,C86/D86," - ")</f>
        <v>0.003858024691358025</v>
      </c>
      <c r="F86" s="139"/>
      <c r="G86" s="140"/>
      <c r="H86" s="131"/>
      <c r="I86" s="131"/>
      <c r="J86" s="131"/>
      <c r="K86" s="23"/>
      <c r="L86" s="23"/>
      <c r="M86" s="23"/>
      <c r="N86" s="23"/>
    </row>
    <row r="87" spans="1:14" ht="13.5" thickTop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23"/>
      <c r="L87" s="23"/>
      <c r="M87" s="23"/>
      <c r="N87" s="23"/>
    </row>
    <row r="88" spans="1:14" ht="24.75" customHeight="1">
      <c r="A88" s="308" t="s">
        <v>151</v>
      </c>
      <c r="B88" s="308"/>
      <c r="C88" s="308"/>
      <c r="D88" s="308"/>
      <c r="E88" s="308"/>
      <c r="F88" s="308"/>
      <c r="G88" s="308"/>
      <c r="H88" s="131"/>
      <c r="I88" s="131"/>
      <c r="J88" s="131"/>
      <c r="K88" s="23"/>
      <c r="L88" s="23"/>
      <c r="M88" s="23"/>
      <c r="N88" s="23"/>
    </row>
    <row r="89" spans="1:14" ht="13.5" thickBot="1">
      <c r="A89" s="141"/>
      <c r="B89" s="142"/>
      <c r="C89" s="142"/>
      <c r="D89" s="131"/>
      <c r="E89" s="131"/>
      <c r="F89" s="131"/>
      <c r="G89" s="131"/>
      <c r="H89" s="131"/>
      <c r="I89" s="131"/>
      <c r="J89" s="131"/>
      <c r="K89" s="23"/>
      <c r="L89" s="23"/>
      <c r="M89" s="23"/>
      <c r="N89" s="23"/>
    </row>
    <row r="90" spans="1:14" ht="17.25" customHeight="1" thickBot="1" thickTop="1">
      <c r="A90" s="290" t="s">
        <v>150</v>
      </c>
      <c r="B90" s="291"/>
      <c r="C90" s="291"/>
      <c r="D90" s="291"/>
      <c r="E90" s="291"/>
      <c r="F90" s="291"/>
      <c r="G90" s="292"/>
      <c r="H90" s="131"/>
      <c r="I90" s="131"/>
      <c r="J90" s="131"/>
      <c r="K90" s="23"/>
      <c r="L90" s="23"/>
      <c r="M90" s="23"/>
      <c r="N90" s="23"/>
    </row>
    <row r="91" spans="1:14" ht="14.25" thickBot="1" thickTop="1">
      <c r="A91" s="143" t="s">
        <v>93</v>
      </c>
      <c r="B91" s="293" t="s">
        <v>140</v>
      </c>
      <c r="C91" s="226"/>
      <c r="D91" s="294"/>
      <c r="E91" s="129" t="s">
        <v>141</v>
      </c>
      <c r="F91" s="226" t="s">
        <v>142</v>
      </c>
      <c r="G91" s="320"/>
      <c r="H91" s="131"/>
      <c r="I91" s="131"/>
      <c r="J91" s="131"/>
      <c r="K91" s="23"/>
      <c r="L91" s="23"/>
      <c r="M91" s="23"/>
      <c r="N91" s="23"/>
    </row>
    <row r="92" spans="1:14" ht="14.25" thickBot="1" thickTop="1">
      <c r="A92" s="7">
        <v>146</v>
      </c>
      <c r="B92" s="322">
        <v>150</v>
      </c>
      <c r="C92" s="322"/>
      <c r="D92" s="322"/>
      <c r="E92" s="144">
        <f>A92^2*B92/1000</f>
        <v>3197.4</v>
      </c>
      <c r="F92" s="321">
        <f>E92/1000</f>
        <v>3.1974</v>
      </c>
      <c r="G92" s="319"/>
      <c r="H92" s="131"/>
      <c r="I92" s="131"/>
      <c r="J92" s="131"/>
      <c r="K92" s="23"/>
      <c r="L92" s="23"/>
      <c r="M92" s="23"/>
      <c r="N92" s="23"/>
    </row>
    <row r="93" spans="1:14" ht="17.25" customHeight="1" thickBot="1" thickTop="1">
      <c r="A93" s="290" t="s">
        <v>152</v>
      </c>
      <c r="B93" s="291"/>
      <c r="C93" s="291"/>
      <c r="D93" s="291"/>
      <c r="E93" s="291"/>
      <c r="F93" s="291"/>
      <c r="G93" s="292"/>
      <c r="H93" s="131"/>
      <c r="I93" s="131"/>
      <c r="J93" s="131"/>
      <c r="K93" s="23"/>
      <c r="L93" s="23"/>
      <c r="M93" s="23"/>
      <c r="N93" s="23"/>
    </row>
    <row r="94" spans="1:14" ht="14.25" thickBot="1" thickTop="1">
      <c r="A94" s="146" t="s">
        <v>143</v>
      </c>
      <c r="B94" s="34" t="s">
        <v>140</v>
      </c>
      <c r="C94" s="293" t="s">
        <v>93</v>
      </c>
      <c r="D94" s="294"/>
      <c r="E94" s="147" t="s">
        <v>144</v>
      </c>
      <c r="F94" s="34" t="s">
        <v>145</v>
      </c>
      <c r="G94" s="148" t="s">
        <v>146</v>
      </c>
      <c r="H94" s="131"/>
      <c r="I94" s="131"/>
      <c r="J94" s="131"/>
      <c r="K94" s="23"/>
      <c r="L94" s="23"/>
      <c r="M94" s="23"/>
      <c r="N94" s="23"/>
    </row>
    <row r="95" spans="1:14" ht="14.25" thickBot="1" thickTop="1">
      <c r="A95" s="7">
        <v>1850</v>
      </c>
      <c r="B95" s="7">
        <v>85</v>
      </c>
      <c r="C95" s="295">
        <f>(A95*1000/B95)^0.5</f>
        <v>147.5286612233465</v>
      </c>
      <c r="D95" s="295"/>
      <c r="E95" s="7">
        <v>10</v>
      </c>
      <c r="F95" s="7">
        <v>20</v>
      </c>
      <c r="G95" s="149">
        <f>1000*F95/E95^2</f>
        <v>200</v>
      </c>
      <c r="H95" s="131"/>
      <c r="I95" s="131"/>
      <c r="J95" s="131"/>
      <c r="K95" s="23"/>
      <c r="L95" s="23"/>
      <c r="M95" s="23"/>
      <c r="N95" s="23"/>
    </row>
    <row r="96" spans="1:14" ht="17.25" customHeight="1" thickBot="1" thickTop="1">
      <c r="A96" s="290" t="s">
        <v>153</v>
      </c>
      <c r="B96" s="291"/>
      <c r="C96" s="291"/>
      <c r="D96" s="291"/>
      <c r="E96" s="291"/>
      <c r="F96" s="291"/>
      <c r="G96" s="292"/>
      <c r="H96" s="131"/>
      <c r="I96" s="131"/>
      <c r="J96" s="131"/>
      <c r="K96" s="23"/>
      <c r="L96" s="23"/>
      <c r="M96" s="23"/>
      <c r="N96" s="23"/>
    </row>
    <row r="97" spans="1:14" ht="14.25" thickBot="1" thickTop="1">
      <c r="A97" s="146" t="s">
        <v>76</v>
      </c>
      <c r="B97" s="34" t="s">
        <v>77</v>
      </c>
      <c r="C97" s="147" t="s">
        <v>155</v>
      </c>
      <c r="D97" s="34" t="s">
        <v>154</v>
      </c>
      <c r="E97" s="9" t="s">
        <v>78</v>
      </c>
      <c r="F97" s="293" t="s">
        <v>79</v>
      </c>
      <c r="G97" s="320"/>
      <c r="H97" s="131"/>
      <c r="I97" s="131"/>
      <c r="J97" s="131"/>
      <c r="K97" s="23"/>
      <c r="L97" s="23"/>
      <c r="M97" s="23"/>
      <c r="N97" s="23"/>
    </row>
    <row r="98" spans="1:14" ht="14.25" thickBot="1" thickTop="1">
      <c r="A98" s="7">
        <v>2.1</v>
      </c>
      <c r="B98" s="7">
        <v>15</v>
      </c>
      <c r="C98" s="7">
        <v>0.28</v>
      </c>
      <c r="D98" s="7">
        <v>145</v>
      </c>
      <c r="E98" s="145">
        <f>ROUND((B98^2*D98*10^-6/(C98^2*A98*10^-4)*1.2*10^-6*10^3),2)</f>
        <v>2.38</v>
      </c>
      <c r="F98" s="318">
        <f>ROUND(((E98*10^-3*D98*10^-6/(A98*10^-4)/(1.2*10^-6))^0.5),2)</f>
        <v>37.01</v>
      </c>
      <c r="G98" s="319"/>
      <c r="H98" s="131"/>
      <c r="I98" s="131"/>
      <c r="J98" s="131"/>
      <c r="K98" s="23"/>
      <c r="L98" s="23"/>
      <c r="M98" s="23"/>
      <c r="N98" s="23"/>
    </row>
    <row r="99" spans="1:14" ht="17.25" customHeight="1" thickBot="1" thickTop="1">
      <c r="A99" s="290" t="s">
        <v>156</v>
      </c>
      <c r="B99" s="291"/>
      <c r="C99" s="291"/>
      <c r="D99" s="291"/>
      <c r="E99" s="291"/>
      <c r="F99" s="291"/>
      <c r="G99" s="292"/>
      <c r="H99" s="131"/>
      <c r="I99" s="131"/>
      <c r="J99" s="131"/>
      <c r="K99" s="23"/>
      <c r="L99" s="23"/>
      <c r="M99" s="23"/>
      <c r="N99" s="23"/>
    </row>
    <row r="100" spans="1:14" ht="14.25" thickBot="1" thickTop="1">
      <c r="A100" s="150" t="s">
        <v>76</v>
      </c>
      <c r="B100" s="335" t="s">
        <v>80</v>
      </c>
      <c r="C100" s="335"/>
      <c r="D100" s="335"/>
      <c r="E100" s="151" t="s">
        <v>81</v>
      </c>
      <c r="F100" s="323" t="s">
        <v>82</v>
      </c>
      <c r="G100" s="324"/>
      <c r="H100" s="23"/>
      <c r="I100" s="23"/>
      <c r="J100" s="23"/>
      <c r="K100" s="23"/>
      <c r="L100" s="23"/>
      <c r="M100" s="23"/>
      <c r="N100" s="23"/>
    </row>
    <row r="101" spans="1:14" ht="14.25" thickBot="1" thickTop="1">
      <c r="A101" s="6">
        <v>2.1</v>
      </c>
      <c r="B101" s="336">
        <v>2</v>
      </c>
      <c r="C101" s="336"/>
      <c r="D101" s="336"/>
      <c r="E101" s="6">
        <v>200</v>
      </c>
      <c r="F101" s="341">
        <f>ROUND(((B101*10^-3*E101*10^-6/(A101*10^-4)/(1.2*10^-6))^0.5),2)</f>
        <v>39.84</v>
      </c>
      <c r="G101" s="342"/>
      <c r="H101" s="23"/>
      <c r="I101" s="23"/>
      <c r="J101" s="23"/>
      <c r="K101" s="23"/>
      <c r="L101" s="23"/>
      <c r="M101" s="23"/>
      <c r="N101" s="23"/>
    </row>
    <row r="102" spans="1:14" ht="17.25" customHeight="1" thickBot="1" thickTop="1">
      <c r="A102" s="290" t="s">
        <v>157</v>
      </c>
      <c r="B102" s="291"/>
      <c r="C102" s="291"/>
      <c r="D102" s="291"/>
      <c r="E102" s="291"/>
      <c r="F102" s="291"/>
      <c r="G102" s="292"/>
      <c r="H102" s="23"/>
      <c r="I102" s="23"/>
      <c r="J102" s="23"/>
      <c r="K102" s="23"/>
      <c r="L102" s="23"/>
      <c r="M102" s="23"/>
      <c r="N102" s="23"/>
    </row>
    <row r="103" spans="1:14" ht="51.75" customHeight="1" thickBot="1" thickTop="1">
      <c r="A103" s="11" t="s">
        <v>83</v>
      </c>
      <c r="B103" s="12" t="s">
        <v>84</v>
      </c>
      <c r="C103" s="343" t="s">
        <v>85</v>
      </c>
      <c r="D103" s="345"/>
      <c r="E103" s="12" t="s">
        <v>86</v>
      </c>
      <c r="F103" s="343" t="s">
        <v>87</v>
      </c>
      <c r="G103" s="344"/>
      <c r="H103" s="23"/>
      <c r="I103" s="23"/>
      <c r="J103" s="23"/>
      <c r="K103" s="23"/>
      <c r="L103" s="23"/>
      <c r="M103" s="23"/>
      <c r="N103" s="23"/>
    </row>
    <row r="104" spans="1:14" ht="14.25" thickBot="1" thickTop="1">
      <c r="A104" s="6">
        <v>115</v>
      </c>
      <c r="B104" s="6">
        <v>15</v>
      </c>
      <c r="C104" s="339">
        <v>2</v>
      </c>
      <c r="D104" s="340"/>
      <c r="E104" s="22">
        <v>2</v>
      </c>
      <c r="F104" s="337">
        <f>(10^-5*B104^2*A104*1.2/C104/E104)^0.5</f>
        <v>0.2786126343151007</v>
      </c>
      <c r="G104" s="338"/>
      <c r="H104" s="23"/>
      <c r="I104" s="23"/>
      <c r="J104" s="23"/>
      <c r="K104" s="23"/>
      <c r="L104" s="23"/>
      <c r="M104" s="23"/>
      <c r="N104" s="23"/>
    </row>
    <row r="105" spans="1:14" ht="17.25" customHeight="1" thickBot="1" thickTop="1">
      <c r="A105" s="325" t="s">
        <v>158</v>
      </c>
      <c r="B105" s="326"/>
      <c r="C105" s="326"/>
      <c r="D105" s="326"/>
      <c r="E105" s="326"/>
      <c r="F105" s="326"/>
      <c r="G105" s="327"/>
      <c r="H105" s="23"/>
      <c r="I105" s="23"/>
      <c r="J105" s="23"/>
      <c r="K105" s="23"/>
      <c r="L105" s="23"/>
      <c r="M105" s="23"/>
      <c r="N105" s="23"/>
    </row>
    <row r="106" spans="1:14" ht="69" thickBot="1" thickTop="1">
      <c r="A106" s="11" t="s">
        <v>88</v>
      </c>
      <c r="B106" s="12" t="s">
        <v>89</v>
      </c>
      <c r="C106" s="13" t="s">
        <v>85</v>
      </c>
      <c r="D106" s="12" t="s">
        <v>86</v>
      </c>
      <c r="E106" s="14" t="s">
        <v>90</v>
      </c>
      <c r="F106" s="152"/>
      <c r="G106" s="152" t="s">
        <v>91</v>
      </c>
      <c r="H106" s="23"/>
      <c r="I106" s="23"/>
      <c r="J106" s="23"/>
      <c r="K106" s="23"/>
      <c r="L106" s="23"/>
      <c r="M106" s="23"/>
      <c r="N106" s="23"/>
    </row>
    <row r="107" spans="1:14" ht="13.5" thickBot="1">
      <c r="A107" s="18">
        <v>200</v>
      </c>
      <c r="B107" s="19">
        <v>0.28</v>
      </c>
      <c r="C107" s="20">
        <v>2</v>
      </c>
      <c r="D107" s="19">
        <v>2</v>
      </c>
      <c r="E107" s="126">
        <f>(C107*D107*B107^2/A107/1.2/10^-8)^0.5</f>
        <v>361.4784456460256</v>
      </c>
      <c r="F107" s="153"/>
      <c r="G107" s="153"/>
      <c r="H107" s="23"/>
      <c r="I107" s="23"/>
      <c r="J107" s="23"/>
      <c r="K107" s="23"/>
      <c r="L107" s="23"/>
      <c r="M107" s="23"/>
      <c r="N107" s="23"/>
    </row>
    <row r="108" spans="1:14" ht="51.75" thickBot="1">
      <c r="A108" s="154" t="s">
        <v>159</v>
      </c>
      <c r="B108" s="125"/>
      <c r="C108" s="3" t="s">
        <v>92</v>
      </c>
      <c r="D108" s="155" t="s">
        <v>93</v>
      </c>
      <c r="E108" s="154" t="s">
        <v>94</v>
      </c>
      <c r="F108" s="152"/>
      <c r="G108" s="152" t="s">
        <v>95</v>
      </c>
      <c r="H108" s="23"/>
      <c r="I108" s="23"/>
      <c r="J108" s="23"/>
      <c r="K108" s="23"/>
      <c r="L108" s="23"/>
      <c r="M108" s="23"/>
      <c r="N108" s="23"/>
    </row>
    <row r="109" spans="1:14" ht="13.5" thickBot="1">
      <c r="A109" s="156">
        <f>E109/1000</f>
        <v>0.2592</v>
      </c>
      <c r="B109" s="125"/>
      <c r="C109" s="2">
        <v>10</v>
      </c>
      <c r="D109" s="157">
        <f>ROUNDDOWN(E107/C109,0)</f>
        <v>36</v>
      </c>
      <c r="E109" s="158">
        <f>D109^2*A107*10^-3</f>
        <v>259.2</v>
      </c>
      <c r="F109" s="153"/>
      <c r="G109" s="153"/>
      <c r="H109" s="23"/>
      <c r="I109" s="23"/>
      <c r="J109" s="23"/>
      <c r="K109" s="23"/>
      <c r="L109" s="23"/>
      <c r="M109" s="23"/>
      <c r="N109" s="23"/>
    </row>
    <row r="110" spans="1:14" ht="17.25" customHeight="1" thickBot="1" thickTop="1">
      <c r="A110" s="328" t="s">
        <v>160</v>
      </c>
      <c r="B110" s="329"/>
      <c r="C110" s="329"/>
      <c r="D110" s="329"/>
      <c r="E110" s="329"/>
      <c r="F110" s="329"/>
      <c r="G110" s="330"/>
      <c r="H110" s="23"/>
      <c r="I110" s="23"/>
      <c r="J110" s="23"/>
      <c r="K110" s="23"/>
      <c r="L110" s="23"/>
      <c r="M110" s="23"/>
      <c r="N110" s="23"/>
    </row>
    <row r="111" spans="1:14" ht="14.25" thickBot="1" thickTop="1">
      <c r="A111" s="150" t="s">
        <v>96</v>
      </c>
      <c r="B111" s="151" t="s">
        <v>93</v>
      </c>
      <c r="C111" s="335" t="s">
        <v>97</v>
      </c>
      <c r="D111" s="335"/>
      <c r="E111" s="151" t="s">
        <v>98</v>
      </c>
      <c r="F111" s="331" t="s">
        <v>149</v>
      </c>
      <c r="G111" s="332"/>
      <c r="H111" s="23"/>
      <c r="I111" s="23"/>
      <c r="J111" s="23"/>
      <c r="K111" s="23"/>
      <c r="L111" s="23"/>
      <c r="M111" s="23"/>
      <c r="N111" s="23"/>
    </row>
    <row r="112" spans="1:14" ht="14.25" thickBot="1" thickTop="1">
      <c r="A112" s="6">
        <v>26</v>
      </c>
      <c r="B112" s="6">
        <v>600</v>
      </c>
      <c r="C112" s="336">
        <v>24</v>
      </c>
      <c r="D112" s="336"/>
      <c r="E112" s="159">
        <f>F112*(C112*B112)^2/A112</f>
        <v>7.616492307692307</v>
      </c>
      <c r="F112" s="333">
        <v>9.55E-07</v>
      </c>
      <c r="G112" s="334"/>
      <c r="H112" s="23"/>
      <c r="I112" s="23"/>
      <c r="J112" s="23"/>
      <c r="K112" s="23"/>
      <c r="L112" s="23"/>
      <c r="M112" s="23"/>
      <c r="N112" s="23"/>
    </row>
    <row r="113" spans="1:14" ht="13.5" thickTop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</sheetData>
  <sheetProtection selectLockedCells="1"/>
  <mergeCells count="82">
    <mergeCell ref="F104:G104"/>
    <mergeCell ref="C104:D104"/>
    <mergeCell ref="B100:D100"/>
    <mergeCell ref="F101:G101"/>
    <mergeCell ref="B101:D101"/>
    <mergeCell ref="F103:G103"/>
    <mergeCell ref="C103:D103"/>
    <mergeCell ref="A105:G105"/>
    <mergeCell ref="A110:G110"/>
    <mergeCell ref="F111:G111"/>
    <mergeCell ref="F112:G112"/>
    <mergeCell ref="C111:D111"/>
    <mergeCell ref="C112:D112"/>
    <mergeCell ref="F98:G98"/>
    <mergeCell ref="A99:G99"/>
    <mergeCell ref="A102:G102"/>
    <mergeCell ref="F91:G91"/>
    <mergeCell ref="F92:G92"/>
    <mergeCell ref="B91:D91"/>
    <mergeCell ref="B92:D92"/>
    <mergeCell ref="A96:G96"/>
    <mergeCell ref="F97:G97"/>
    <mergeCell ref="F100:G100"/>
    <mergeCell ref="A69:G69"/>
    <mergeCell ref="A70:G70"/>
    <mergeCell ref="F71:G71"/>
    <mergeCell ref="F72:G72"/>
    <mergeCell ref="F73:G73"/>
    <mergeCell ref="F74:G74"/>
    <mergeCell ref="A75:G75"/>
    <mergeCell ref="F76:G76"/>
    <mergeCell ref="F82:G82"/>
    <mergeCell ref="F83:G83"/>
    <mergeCell ref="A90:G90"/>
    <mergeCell ref="F77:G77"/>
    <mergeCell ref="F78:G78"/>
    <mergeCell ref="A79:G79"/>
    <mergeCell ref="E80:G80"/>
    <mergeCell ref="A84:G84"/>
    <mergeCell ref="A88:G88"/>
    <mergeCell ref="A93:G93"/>
    <mergeCell ref="C94:D94"/>
    <mergeCell ref="C95:D95"/>
    <mergeCell ref="A31:C32"/>
    <mergeCell ref="B56:G56"/>
    <mergeCell ref="B50:G50"/>
    <mergeCell ref="B51:C51"/>
    <mergeCell ref="D51:E51"/>
    <mergeCell ref="F51:G51"/>
    <mergeCell ref="F81:G81"/>
    <mergeCell ref="I57:J57"/>
    <mergeCell ref="K57:L57"/>
    <mergeCell ref="B62:G62"/>
    <mergeCell ref="B63:C63"/>
    <mergeCell ref="D63:E63"/>
    <mergeCell ref="F63:G63"/>
    <mergeCell ref="B57:C57"/>
    <mergeCell ref="D57:E57"/>
    <mergeCell ref="F57:G57"/>
    <mergeCell ref="I39:J39"/>
    <mergeCell ref="B44:G44"/>
    <mergeCell ref="B45:C45"/>
    <mergeCell ref="D45:E45"/>
    <mergeCell ref="F45:G45"/>
    <mergeCell ref="B38:G38"/>
    <mergeCell ref="B39:C39"/>
    <mergeCell ref="D39:E39"/>
    <mergeCell ref="F39:G39"/>
    <mergeCell ref="D32:F33"/>
    <mergeCell ref="G23:I24"/>
    <mergeCell ref="G13:I14"/>
    <mergeCell ref="A26:C27"/>
    <mergeCell ref="D21:F22"/>
    <mergeCell ref="A28:C29"/>
    <mergeCell ref="A1:C2"/>
    <mergeCell ref="D4:F6"/>
    <mergeCell ref="G11:I12"/>
    <mergeCell ref="G18:I19"/>
    <mergeCell ref="D18:F19"/>
    <mergeCell ref="D1:F2"/>
    <mergeCell ref="D7:F8"/>
    <mergeCell ref="G1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Geo-Solar Centrum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Attila</dc:creator>
  <cp:keywords/>
  <dc:description/>
  <cp:lastModifiedBy>Fekete Attila</cp:lastModifiedBy>
  <dcterms:created xsi:type="dcterms:W3CDTF">2011-07-23T16:59:55Z</dcterms:created>
  <dcterms:modified xsi:type="dcterms:W3CDTF">2012-06-28T17:28:51Z</dcterms:modified>
  <cp:category/>
  <cp:version/>
  <cp:contentType/>
  <cp:contentStatus/>
</cp:coreProperties>
</file>