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30" windowWidth="11340" windowHeight="8580" activeTab="5"/>
  </bookViews>
  <sheets>
    <sheet name="Egyutas egyenirányító" sheetId="1" r:id="rId1"/>
    <sheet name="Kétutas középpontleágazású" sheetId="2" r:id="rId2"/>
    <sheet name="Graetz egyenirányító" sheetId="3" r:id="rId3"/>
    <sheet name="Egyutas egyenirányító + kondi" sheetId="4" r:id="rId4"/>
    <sheet name="Kétutas kl. + kondi" sheetId="5" r:id="rId5"/>
    <sheet name="Graetz + kondi" sheetId="6" r:id="rId6"/>
    <sheet name="Hálózati trafó" sheetId="7" r:id="rId7"/>
  </sheets>
  <definedNames/>
  <calcPr fullCalcOnLoad="1"/>
</workbook>
</file>

<file path=xl/sharedStrings.xml><?xml version="1.0" encoding="utf-8"?>
<sst xmlns="http://schemas.openxmlformats.org/spreadsheetml/2006/main" count="252" uniqueCount="86">
  <si>
    <t>V</t>
  </si>
  <si>
    <t>W</t>
  </si>
  <si>
    <t>VA</t>
  </si>
  <si>
    <t>Hz</t>
  </si>
  <si>
    <t>A</t>
  </si>
  <si>
    <t>Kimenő egyenfeszültség</t>
  </si>
  <si>
    <t>Kimenő egyenteljesítmény</t>
  </si>
  <si>
    <t>Bemenő frekvencia</t>
  </si>
  <si>
    <t>Transzformátor teljesítmény</t>
  </si>
  <si>
    <t>Búgó frekvencia</t>
  </si>
  <si>
    <t>Szekunder feszültség</t>
  </si>
  <si>
    <t>Dióda igénybevétele</t>
  </si>
  <si>
    <t>Dióda nyitóirányú áram</t>
  </si>
  <si>
    <t>C</t>
  </si>
  <si>
    <t>Puffer kapacitás</t>
  </si>
  <si>
    <t>Kondenzátor igénybevétele</t>
  </si>
  <si>
    <t>Búgó feszültség</t>
  </si>
  <si>
    <r>
      <t>U</t>
    </r>
    <r>
      <rPr>
        <vertAlign val="subscript"/>
        <sz val="10"/>
        <rFont val="Arial"/>
        <family val="2"/>
      </rPr>
      <t>ki</t>
    </r>
  </si>
  <si>
    <r>
      <t>P</t>
    </r>
    <r>
      <rPr>
        <vertAlign val="subscript"/>
        <sz val="10"/>
        <rFont val="Arial"/>
        <family val="2"/>
      </rPr>
      <t>ki</t>
    </r>
  </si>
  <si>
    <r>
      <t>f</t>
    </r>
    <r>
      <rPr>
        <vertAlign val="subscript"/>
        <sz val="10"/>
        <rFont val="Arial"/>
        <family val="2"/>
      </rPr>
      <t>be</t>
    </r>
  </si>
  <si>
    <r>
      <t>P</t>
    </r>
    <r>
      <rPr>
        <vertAlign val="subscript"/>
        <sz val="10"/>
        <rFont val="Arial"/>
        <family val="2"/>
      </rPr>
      <t>t</t>
    </r>
  </si>
  <si>
    <r>
      <t>f</t>
    </r>
    <r>
      <rPr>
        <vertAlign val="subscript"/>
        <sz val="10"/>
        <rFont val="Arial"/>
        <family val="2"/>
      </rPr>
      <t>b</t>
    </r>
  </si>
  <si>
    <r>
      <t>U</t>
    </r>
    <r>
      <rPr>
        <vertAlign val="subscript"/>
        <sz val="10"/>
        <rFont val="Arial"/>
        <family val="2"/>
      </rPr>
      <t>b</t>
    </r>
  </si>
  <si>
    <r>
      <t>U</t>
    </r>
    <r>
      <rPr>
        <vertAlign val="subscript"/>
        <sz val="10"/>
        <rFont val="Arial"/>
        <family val="2"/>
      </rPr>
      <t>s</t>
    </r>
  </si>
  <si>
    <r>
      <t>U</t>
    </r>
    <r>
      <rPr>
        <vertAlign val="subscript"/>
        <sz val="10"/>
        <rFont val="Arial"/>
        <family val="2"/>
      </rPr>
      <t>R</t>
    </r>
  </si>
  <si>
    <r>
      <t>I</t>
    </r>
    <r>
      <rPr>
        <vertAlign val="subscript"/>
        <sz val="10"/>
        <rFont val="Arial"/>
        <family val="2"/>
      </rPr>
      <t>F</t>
    </r>
  </si>
  <si>
    <r>
      <t>U</t>
    </r>
    <r>
      <rPr>
        <vertAlign val="subscript"/>
        <sz val="10"/>
        <rFont val="Arial"/>
        <family val="2"/>
      </rPr>
      <t>c</t>
    </r>
  </si>
  <si>
    <r>
      <t>m</t>
    </r>
    <r>
      <rPr>
        <sz val="10"/>
        <rFont val="Arial"/>
        <family val="0"/>
      </rPr>
      <t>F</t>
    </r>
  </si>
  <si>
    <t>h</t>
  </si>
  <si>
    <t>%</t>
  </si>
  <si>
    <t>cm</t>
  </si>
  <si>
    <t>Típus</t>
  </si>
  <si>
    <t>EI 48/16</t>
  </si>
  <si>
    <t>EI 54/18</t>
  </si>
  <si>
    <t>EI 60/20</t>
  </si>
  <si>
    <t>EI 66/22</t>
  </si>
  <si>
    <t>EI 78/26</t>
  </si>
  <si>
    <t>EI 84/28</t>
  </si>
  <si>
    <t>EI 84/42</t>
  </si>
  <si>
    <t>EI 106/35</t>
  </si>
  <si>
    <t>EI 106/45</t>
  </si>
  <si>
    <t>EI 130/35</t>
  </si>
  <si>
    <t>EI 130/45</t>
  </si>
  <si>
    <t>menet/V</t>
  </si>
  <si>
    <r>
      <t>P</t>
    </r>
    <r>
      <rPr>
        <b/>
        <vertAlign val="subscript"/>
        <sz val="10"/>
        <rFont val="Arial"/>
        <family val="2"/>
      </rPr>
      <t>t</t>
    </r>
  </si>
  <si>
    <r>
      <t>A</t>
    </r>
    <r>
      <rPr>
        <b/>
        <vertAlign val="subscript"/>
        <sz val="10"/>
        <rFont val="Arial"/>
        <family val="2"/>
      </rPr>
      <t>v</t>
    </r>
  </si>
  <si>
    <r>
      <t>cm</t>
    </r>
    <r>
      <rPr>
        <b/>
        <vertAlign val="superscript"/>
        <sz val="10"/>
        <rFont val="Arial"/>
        <family val="2"/>
      </rPr>
      <t>2</t>
    </r>
  </si>
  <si>
    <r>
      <t>L</t>
    </r>
    <r>
      <rPr>
        <b/>
        <vertAlign val="subscript"/>
        <sz val="10"/>
        <rFont val="Arial"/>
        <family val="2"/>
      </rPr>
      <t>k</t>
    </r>
  </si>
  <si>
    <r>
      <t>U</t>
    </r>
    <r>
      <rPr>
        <b/>
        <vertAlign val="subscript"/>
        <sz val="10"/>
        <rFont val="Arial"/>
        <family val="2"/>
      </rPr>
      <t>p</t>
    </r>
  </si>
  <si>
    <r>
      <t>U</t>
    </r>
    <r>
      <rPr>
        <b/>
        <vertAlign val="subscript"/>
        <sz val="10"/>
        <rFont val="Arial"/>
        <family val="2"/>
      </rPr>
      <t>s</t>
    </r>
  </si>
  <si>
    <r>
      <t>J</t>
    </r>
    <r>
      <rPr>
        <b/>
        <vertAlign val="subscript"/>
        <sz val="10"/>
        <rFont val="Arial"/>
        <family val="2"/>
      </rPr>
      <t>p</t>
    </r>
  </si>
  <si>
    <r>
      <t>J</t>
    </r>
    <r>
      <rPr>
        <b/>
        <vertAlign val="subscript"/>
        <sz val="10"/>
        <rFont val="Arial"/>
        <family val="2"/>
      </rPr>
      <t>s</t>
    </r>
  </si>
  <si>
    <r>
      <t>A/mm</t>
    </r>
    <r>
      <rPr>
        <b/>
        <vertAlign val="superscript"/>
        <sz val="10"/>
        <rFont val="Arial"/>
        <family val="2"/>
      </rPr>
      <t>2</t>
    </r>
  </si>
  <si>
    <t>f</t>
  </si>
  <si>
    <t>menet</t>
  </si>
  <si>
    <r>
      <t>cm</t>
    </r>
    <r>
      <rPr>
        <vertAlign val="superscript"/>
        <sz val="10"/>
        <rFont val="Arial"/>
        <family val="2"/>
      </rPr>
      <t>2</t>
    </r>
  </si>
  <si>
    <t>mm</t>
  </si>
  <si>
    <t>dcs</t>
  </si>
  <si>
    <t>dz</t>
  </si>
  <si>
    <t>Ah</t>
  </si>
  <si>
    <t>I</t>
  </si>
  <si>
    <t>r</t>
  </si>
  <si>
    <r>
      <t>mm</t>
    </r>
    <r>
      <rPr>
        <b/>
        <vertAlign val="superscript"/>
        <sz val="10"/>
        <rFont val="Arial"/>
        <family val="2"/>
      </rPr>
      <t>2</t>
    </r>
  </si>
  <si>
    <r>
      <t>W</t>
    </r>
    <r>
      <rPr>
        <b/>
        <sz val="10"/>
        <rFont val="Arial"/>
        <family val="0"/>
      </rPr>
      <t>m</t>
    </r>
  </si>
  <si>
    <t>Ip</t>
  </si>
  <si>
    <t>Is</t>
  </si>
  <si>
    <r>
      <t>U</t>
    </r>
    <r>
      <rPr>
        <vertAlign val="subscript"/>
        <sz val="10"/>
        <rFont val="Arial"/>
        <family val="2"/>
      </rPr>
      <t>p</t>
    </r>
  </si>
  <si>
    <r>
      <t>A</t>
    </r>
    <r>
      <rPr>
        <vertAlign val="subscript"/>
        <sz val="10"/>
        <rFont val="Arial"/>
        <family val="2"/>
      </rPr>
      <t>v</t>
    </r>
  </si>
  <si>
    <r>
      <t>N</t>
    </r>
    <r>
      <rPr>
        <vertAlign val="subscript"/>
        <sz val="10"/>
        <rFont val="Arial"/>
        <family val="2"/>
      </rPr>
      <t>p</t>
    </r>
  </si>
  <si>
    <r>
      <t>N</t>
    </r>
    <r>
      <rPr>
        <vertAlign val="subscript"/>
        <sz val="10"/>
        <rFont val="Arial"/>
        <family val="2"/>
      </rPr>
      <t>s</t>
    </r>
  </si>
  <si>
    <r>
      <t>d</t>
    </r>
    <r>
      <rPr>
        <vertAlign val="subscript"/>
        <sz val="10"/>
        <rFont val="Arial"/>
        <family val="2"/>
      </rPr>
      <t>p</t>
    </r>
  </si>
  <si>
    <r>
      <t>d</t>
    </r>
    <r>
      <rPr>
        <vertAlign val="subscript"/>
        <sz val="10"/>
        <rFont val="Arial"/>
        <family val="2"/>
      </rPr>
      <t>s</t>
    </r>
  </si>
  <si>
    <r>
      <t>R</t>
    </r>
    <r>
      <rPr>
        <vertAlign val="subscript"/>
        <sz val="10"/>
        <rFont val="Arial"/>
        <family val="2"/>
      </rPr>
      <t>p</t>
    </r>
  </si>
  <si>
    <r>
      <t>R</t>
    </r>
    <r>
      <rPr>
        <vertAlign val="subscript"/>
        <sz val="10"/>
        <rFont val="Arial"/>
        <family val="2"/>
      </rPr>
      <t>s</t>
    </r>
  </si>
  <si>
    <t>Primer feszültség</t>
  </si>
  <si>
    <t>Vasmag típusa</t>
  </si>
  <si>
    <t>Vasmag teljesítménye</t>
  </si>
  <si>
    <t>Vasmag keresztmetszete</t>
  </si>
  <si>
    <t>Hálózati frekvencia</t>
  </si>
  <si>
    <t>Primer menetszám</t>
  </si>
  <si>
    <t>Szekunder menetszám</t>
  </si>
  <si>
    <t>Primer huzalátmérő</t>
  </si>
  <si>
    <t>Szekunder huzalátmérő</t>
  </si>
  <si>
    <t>Primer ellenállás</t>
  </si>
  <si>
    <t>Szekunder ellenállás</t>
  </si>
  <si>
    <t>Hatásfok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</si>
</sst>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32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352425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31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31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31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I10"/>
  <sheetViews>
    <sheetView showGridLines="0" showRowColHeaders="0" workbookViewId="0" topLeftCell="A1">
      <selection activeCell="G2" sqref="G2"/>
    </sheetView>
  </sheetViews>
  <sheetFormatPr defaultColWidth="9.140625" defaultRowHeight="12.75"/>
  <cols>
    <col min="6" max="6" width="4.57421875" style="0" customWidth="1"/>
    <col min="7" max="7" width="9.140625" style="1" customWidth="1"/>
    <col min="8" max="8" width="4.28125" style="1" customWidth="1"/>
    <col min="9" max="9" width="24.57421875" style="0" customWidth="1"/>
  </cols>
  <sheetData>
    <row r="1" ht="12.75"/>
    <row r="2" spans="6:9" ht="15.75">
      <c r="F2" s="2" t="s">
        <v>17</v>
      </c>
      <c r="G2" s="6">
        <v>12</v>
      </c>
      <c r="H2" s="3" t="s">
        <v>0</v>
      </c>
      <c r="I2" s="2" t="s">
        <v>5</v>
      </c>
    </row>
    <row r="3" spans="6:9" ht="15.75">
      <c r="F3" s="2" t="s">
        <v>18</v>
      </c>
      <c r="G3" s="6">
        <v>20</v>
      </c>
      <c r="H3" s="3" t="s">
        <v>1</v>
      </c>
      <c r="I3" s="2" t="s">
        <v>6</v>
      </c>
    </row>
    <row r="4" spans="6:9" ht="15.75">
      <c r="F4" s="2" t="s">
        <v>19</v>
      </c>
      <c r="G4" s="6">
        <v>50</v>
      </c>
      <c r="H4" s="3" t="s">
        <v>3</v>
      </c>
      <c r="I4" s="2" t="s">
        <v>7</v>
      </c>
    </row>
    <row r="5" spans="6:9" ht="12.75">
      <c r="F5" s="2"/>
      <c r="G5" s="3"/>
      <c r="H5" s="3"/>
      <c r="I5" s="2"/>
    </row>
    <row r="6" spans="6:9" ht="15.75">
      <c r="F6" s="2" t="s">
        <v>20</v>
      </c>
      <c r="G6" s="5">
        <f>G3*3.1</f>
        <v>62</v>
      </c>
      <c r="H6" s="3" t="s">
        <v>2</v>
      </c>
      <c r="I6" s="2" t="s">
        <v>8</v>
      </c>
    </row>
    <row r="7" spans="6:9" ht="15.75">
      <c r="F7" s="2" t="s">
        <v>21</v>
      </c>
      <c r="G7" s="5">
        <f>G4</f>
        <v>50</v>
      </c>
      <c r="H7" s="3" t="s">
        <v>3</v>
      </c>
      <c r="I7" s="2" t="s">
        <v>9</v>
      </c>
    </row>
    <row r="8" spans="6:9" ht="15.75">
      <c r="F8" s="2" t="s">
        <v>23</v>
      </c>
      <c r="G8" s="5">
        <f>2.22*G2*1.15</f>
        <v>30.636</v>
      </c>
      <c r="H8" s="3" t="s">
        <v>0</v>
      </c>
      <c r="I8" s="2" t="s">
        <v>10</v>
      </c>
    </row>
    <row r="9" spans="6:9" ht="15.75">
      <c r="F9" s="2" t="s">
        <v>24</v>
      </c>
      <c r="G9" s="5">
        <f>G8*SQRT(2)</f>
        <v>43.32584669686214</v>
      </c>
      <c r="H9" s="3" t="s">
        <v>0</v>
      </c>
      <c r="I9" s="2" t="s">
        <v>11</v>
      </c>
    </row>
    <row r="10" spans="6:9" ht="15.75">
      <c r="F10" s="2" t="s">
        <v>25</v>
      </c>
      <c r="G10" s="5">
        <f>G3/G2</f>
        <v>1.6666666666666667</v>
      </c>
      <c r="H10" s="3" t="s">
        <v>4</v>
      </c>
      <c r="I10" s="2" t="s">
        <v>12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I10"/>
  <sheetViews>
    <sheetView showGridLines="0" showRowColHeaders="0" workbookViewId="0" topLeftCell="A1">
      <selection activeCell="G2" sqref="G2"/>
    </sheetView>
  </sheetViews>
  <sheetFormatPr defaultColWidth="9.140625" defaultRowHeight="12.75"/>
  <cols>
    <col min="6" max="6" width="5.57421875" style="0" customWidth="1"/>
    <col min="7" max="7" width="11.00390625" style="1" customWidth="1"/>
    <col min="8" max="8" width="4.421875" style="1" customWidth="1"/>
    <col min="9" max="9" width="24.28125" style="0" customWidth="1"/>
  </cols>
  <sheetData>
    <row r="1" ht="12.75"/>
    <row r="2" spans="6:9" ht="15.75">
      <c r="F2" s="2" t="s">
        <v>17</v>
      </c>
      <c r="G2" s="6">
        <v>12</v>
      </c>
      <c r="H2" s="3" t="s">
        <v>0</v>
      </c>
      <c r="I2" s="2" t="s">
        <v>5</v>
      </c>
    </row>
    <row r="3" spans="6:9" ht="15.75">
      <c r="F3" s="2" t="s">
        <v>18</v>
      </c>
      <c r="G3" s="6">
        <v>20</v>
      </c>
      <c r="H3" s="3" t="s">
        <v>1</v>
      </c>
      <c r="I3" s="2" t="s">
        <v>6</v>
      </c>
    </row>
    <row r="4" spans="6:9" ht="15.75">
      <c r="F4" s="2" t="s">
        <v>19</v>
      </c>
      <c r="G4" s="6">
        <v>50</v>
      </c>
      <c r="H4" s="3" t="s">
        <v>3</v>
      </c>
      <c r="I4" s="2" t="s">
        <v>7</v>
      </c>
    </row>
    <row r="5" spans="6:9" ht="12.75">
      <c r="F5" s="2"/>
      <c r="G5" s="3"/>
      <c r="H5" s="3"/>
      <c r="I5" s="2"/>
    </row>
    <row r="6" spans="6:9" ht="15.75">
      <c r="F6" s="2" t="s">
        <v>20</v>
      </c>
      <c r="G6" s="5">
        <f>G3*1.48</f>
        <v>29.6</v>
      </c>
      <c r="H6" s="3" t="s">
        <v>2</v>
      </c>
      <c r="I6" s="2" t="s">
        <v>8</v>
      </c>
    </row>
    <row r="7" spans="6:9" ht="15.75">
      <c r="F7" s="2" t="s">
        <v>21</v>
      </c>
      <c r="G7" s="5">
        <f>G4*2</f>
        <v>100</v>
      </c>
      <c r="H7" s="3" t="s">
        <v>3</v>
      </c>
      <c r="I7" s="2" t="s">
        <v>9</v>
      </c>
    </row>
    <row r="8" spans="6:9" ht="15.75">
      <c r="F8" s="2" t="s">
        <v>23</v>
      </c>
      <c r="G8" s="5">
        <f>1.11*G2*1.15</f>
        <v>15.318</v>
      </c>
      <c r="H8" s="3" t="s">
        <v>0</v>
      </c>
      <c r="I8" s="2" t="s">
        <v>10</v>
      </c>
    </row>
    <row r="9" spans="6:9" ht="15.75">
      <c r="F9" s="2" t="s">
        <v>24</v>
      </c>
      <c r="G9" s="5">
        <f>G8*SQRT(2)*2</f>
        <v>43.32584669686214</v>
      </c>
      <c r="H9" s="3" t="s">
        <v>0</v>
      </c>
      <c r="I9" s="2" t="s">
        <v>11</v>
      </c>
    </row>
    <row r="10" spans="6:9" ht="15.75">
      <c r="F10" s="2" t="s">
        <v>25</v>
      </c>
      <c r="G10" s="5">
        <f>G3/G2*0.5</f>
        <v>0.8333333333333334</v>
      </c>
      <c r="H10" s="3" t="s">
        <v>4</v>
      </c>
      <c r="I10" s="2" t="s">
        <v>12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2:J26"/>
  <sheetViews>
    <sheetView showGridLines="0" showRowColHeaders="0" workbookViewId="0" topLeftCell="A1">
      <selection activeCell="G2" sqref="G2"/>
    </sheetView>
  </sheetViews>
  <sheetFormatPr defaultColWidth="9.140625" defaultRowHeight="12.75"/>
  <cols>
    <col min="6" max="6" width="3.8515625" style="0" customWidth="1"/>
    <col min="7" max="7" width="9.140625" style="1" customWidth="1"/>
    <col min="8" max="8" width="3.7109375" style="1" customWidth="1"/>
    <col min="9" max="9" width="24.140625" style="0" customWidth="1"/>
  </cols>
  <sheetData>
    <row r="1" ht="12.75"/>
    <row r="2" spans="6:9" ht="15.75">
      <c r="F2" s="2" t="s">
        <v>17</v>
      </c>
      <c r="G2" s="6">
        <v>12</v>
      </c>
      <c r="H2" s="3" t="s">
        <v>0</v>
      </c>
      <c r="I2" s="2" t="s">
        <v>5</v>
      </c>
    </row>
    <row r="3" spans="6:9" ht="15.75">
      <c r="F3" s="2" t="s">
        <v>18</v>
      </c>
      <c r="G3" s="6">
        <v>20</v>
      </c>
      <c r="H3" s="3" t="s">
        <v>1</v>
      </c>
      <c r="I3" s="2" t="s">
        <v>6</v>
      </c>
    </row>
    <row r="4" spans="6:9" ht="15.75">
      <c r="F4" s="2" t="s">
        <v>19</v>
      </c>
      <c r="G4" s="6">
        <v>50</v>
      </c>
      <c r="H4" s="3" t="s">
        <v>3</v>
      </c>
      <c r="I4" s="2" t="s">
        <v>7</v>
      </c>
    </row>
    <row r="5" spans="6:9" ht="12.75">
      <c r="F5" s="2"/>
      <c r="G5" s="3"/>
      <c r="H5" s="3"/>
      <c r="I5" s="2"/>
    </row>
    <row r="6" spans="6:9" ht="15.75">
      <c r="F6" s="2" t="s">
        <v>20</v>
      </c>
      <c r="G6" s="5">
        <f>G3*1.24</f>
        <v>24.8</v>
      </c>
      <c r="H6" s="3" t="s">
        <v>2</v>
      </c>
      <c r="I6" s="2" t="s">
        <v>8</v>
      </c>
    </row>
    <row r="7" spans="6:9" ht="15.75">
      <c r="F7" s="2" t="s">
        <v>21</v>
      </c>
      <c r="G7" s="5">
        <f>G4*2</f>
        <v>100</v>
      </c>
      <c r="H7" s="3" t="s">
        <v>3</v>
      </c>
      <c r="I7" s="2" t="s">
        <v>9</v>
      </c>
    </row>
    <row r="8" spans="6:9" ht="15.75">
      <c r="F8" s="2" t="s">
        <v>23</v>
      </c>
      <c r="G8" s="5">
        <f>1.11*G2*1.15</f>
        <v>15.318</v>
      </c>
      <c r="H8" s="3" t="s">
        <v>0</v>
      </c>
      <c r="I8" s="2" t="s">
        <v>10</v>
      </c>
    </row>
    <row r="9" spans="6:9" ht="15.75">
      <c r="F9" s="2" t="s">
        <v>24</v>
      </c>
      <c r="G9" s="5">
        <f>G8*SQRT(2)*2</f>
        <v>43.32584669686214</v>
      </c>
      <c r="H9" s="3" t="s">
        <v>0</v>
      </c>
      <c r="I9" s="2" t="s">
        <v>11</v>
      </c>
    </row>
    <row r="10" spans="6:9" ht="15.75">
      <c r="F10" s="2" t="s">
        <v>25</v>
      </c>
      <c r="G10" s="5">
        <f>G3/G2*0.5</f>
        <v>0.8333333333333334</v>
      </c>
      <c r="H10" s="3" t="s">
        <v>4</v>
      </c>
      <c r="I10" s="2" t="s">
        <v>12</v>
      </c>
    </row>
    <row r="11" ht="12.75"/>
    <row r="12" ht="12.75"/>
    <row r="13" ht="12.75"/>
    <row r="14" ht="12.75"/>
    <row r="15" ht="12.75"/>
    <row r="16" ht="12.75"/>
    <row r="17" ht="12.75">
      <c r="J17" s="7"/>
    </row>
    <row r="18" ht="12.75">
      <c r="J18" s="7"/>
    </row>
    <row r="19" ht="12.75">
      <c r="J19" s="7"/>
    </row>
    <row r="20" ht="12.75">
      <c r="J20" s="7"/>
    </row>
    <row r="21" ht="12.75">
      <c r="J21" s="7"/>
    </row>
    <row r="22" ht="12.75">
      <c r="J22" s="7"/>
    </row>
    <row r="23" ht="12.75">
      <c r="J23" s="7"/>
    </row>
    <row r="24" ht="12.75">
      <c r="J24" s="7"/>
    </row>
    <row r="25" ht="12.75">
      <c r="J25" s="7"/>
    </row>
    <row r="26" ht="12.75">
      <c r="J26" s="7"/>
    </row>
    <row r="27" ht="12.75"/>
    <row r="28" ht="12.75"/>
    <row r="29" ht="12.75"/>
    <row r="30" ht="12.75"/>
    <row r="31" ht="12.75"/>
    <row r="32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2:I13"/>
  <sheetViews>
    <sheetView showGridLines="0" showRowColHeaders="0" workbookViewId="0" topLeftCell="A1">
      <selection activeCell="G2" sqref="G2"/>
    </sheetView>
  </sheetViews>
  <sheetFormatPr defaultColWidth="9.140625" defaultRowHeight="12.75"/>
  <cols>
    <col min="6" max="6" width="3.7109375" style="0" customWidth="1"/>
    <col min="7" max="7" width="9.140625" style="1" customWidth="1"/>
    <col min="8" max="8" width="4.00390625" style="1" customWidth="1"/>
    <col min="9" max="9" width="24.28125" style="0" customWidth="1"/>
  </cols>
  <sheetData>
    <row r="1" ht="12.75"/>
    <row r="2" spans="6:9" ht="15.75">
      <c r="F2" s="2" t="s">
        <v>17</v>
      </c>
      <c r="G2" s="6">
        <v>12</v>
      </c>
      <c r="H2" s="3" t="s">
        <v>0</v>
      </c>
      <c r="I2" s="2" t="s">
        <v>5</v>
      </c>
    </row>
    <row r="3" spans="6:9" ht="15.75">
      <c r="F3" s="2" t="s">
        <v>18</v>
      </c>
      <c r="G3" s="6">
        <v>20</v>
      </c>
      <c r="H3" s="3" t="s">
        <v>1</v>
      </c>
      <c r="I3" s="2" t="s">
        <v>6</v>
      </c>
    </row>
    <row r="4" spans="6:9" ht="15.75">
      <c r="F4" s="2" t="s">
        <v>19</v>
      </c>
      <c r="G4" s="6">
        <v>50</v>
      </c>
      <c r="H4" s="3" t="s">
        <v>3</v>
      </c>
      <c r="I4" s="2" t="s">
        <v>7</v>
      </c>
    </row>
    <row r="5" spans="6:9" ht="12.75">
      <c r="F5" s="2"/>
      <c r="G5" s="3"/>
      <c r="H5" s="3"/>
      <c r="I5" s="2"/>
    </row>
    <row r="6" spans="6:9" ht="15.75">
      <c r="F6" s="2" t="s">
        <v>20</v>
      </c>
      <c r="G6" s="5">
        <f>1.73*G3</f>
        <v>34.6</v>
      </c>
      <c r="H6" s="3" t="s">
        <v>2</v>
      </c>
      <c r="I6" s="2" t="s">
        <v>8</v>
      </c>
    </row>
    <row r="7" spans="6:9" ht="15.75">
      <c r="F7" s="2" t="s">
        <v>21</v>
      </c>
      <c r="G7" s="5">
        <f>G4</f>
        <v>50</v>
      </c>
      <c r="H7" s="3" t="s">
        <v>3</v>
      </c>
      <c r="I7" s="2" t="s">
        <v>9</v>
      </c>
    </row>
    <row r="8" spans="6:9" ht="15.75">
      <c r="F8" s="2" t="s">
        <v>22</v>
      </c>
      <c r="G8" s="5">
        <f>0.05*G2</f>
        <v>0.6000000000000001</v>
      </c>
      <c r="H8" s="3" t="s">
        <v>0</v>
      </c>
      <c r="I8" s="2" t="s">
        <v>16</v>
      </c>
    </row>
    <row r="9" spans="6:9" ht="15.75">
      <c r="F9" s="2" t="s">
        <v>23</v>
      </c>
      <c r="G9" s="5">
        <f>G2*0.85*1.15</f>
        <v>11.729999999999999</v>
      </c>
      <c r="H9" s="3" t="s">
        <v>0</v>
      </c>
      <c r="I9" s="2" t="s">
        <v>10</v>
      </c>
    </row>
    <row r="10" spans="6:9" ht="15.75">
      <c r="F10" s="2" t="s">
        <v>24</v>
      </c>
      <c r="G10" s="5">
        <f>2*SQRT(2)*G9</f>
        <v>33.17745017327281</v>
      </c>
      <c r="H10" s="3" t="s">
        <v>0</v>
      </c>
      <c r="I10" s="2" t="s">
        <v>11</v>
      </c>
    </row>
    <row r="11" spans="6:9" ht="15.75">
      <c r="F11" s="2" t="s">
        <v>25</v>
      </c>
      <c r="G11" s="5">
        <f>G3/G2</f>
        <v>1.6666666666666667</v>
      </c>
      <c r="H11" s="3" t="s">
        <v>4</v>
      </c>
      <c r="I11" s="2" t="s">
        <v>12</v>
      </c>
    </row>
    <row r="12" spans="6:9" ht="12.75">
      <c r="F12" s="2" t="s">
        <v>13</v>
      </c>
      <c r="G12" s="5">
        <f>0.25*G11/G8/G4*1000000</f>
        <v>13888.888888888889</v>
      </c>
      <c r="H12" s="4" t="s">
        <v>27</v>
      </c>
      <c r="I12" s="2" t="s">
        <v>14</v>
      </c>
    </row>
    <row r="13" spans="6:9" ht="15.75">
      <c r="F13" s="2" t="s">
        <v>26</v>
      </c>
      <c r="G13" s="5">
        <f>G9*SQRT(2)</f>
        <v>16.588725086636405</v>
      </c>
      <c r="H13" s="3" t="s">
        <v>0</v>
      </c>
      <c r="I13" s="2" t="s">
        <v>15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2:I13"/>
  <sheetViews>
    <sheetView showGridLines="0" showRowColHeaders="0" workbookViewId="0" topLeftCell="A1">
      <selection activeCell="G4" sqref="G4"/>
    </sheetView>
  </sheetViews>
  <sheetFormatPr defaultColWidth="9.140625" defaultRowHeight="12.75"/>
  <cols>
    <col min="6" max="6" width="5.00390625" style="0" customWidth="1"/>
    <col min="7" max="7" width="9.140625" style="1" customWidth="1"/>
    <col min="8" max="8" width="4.00390625" style="1" customWidth="1"/>
    <col min="9" max="9" width="24.421875" style="0" customWidth="1"/>
  </cols>
  <sheetData>
    <row r="1" ht="12.75"/>
    <row r="2" spans="6:9" ht="15.75">
      <c r="F2" s="2" t="s">
        <v>17</v>
      </c>
      <c r="G2" s="6">
        <v>20</v>
      </c>
      <c r="H2" s="3" t="s">
        <v>0</v>
      </c>
      <c r="I2" s="2" t="s">
        <v>5</v>
      </c>
    </row>
    <row r="3" spans="6:9" ht="15.75">
      <c r="F3" s="2" t="s">
        <v>18</v>
      </c>
      <c r="G3" s="6">
        <v>20</v>
      </c>
      <c r="H3" s="3" t="s">
        <v>1</v>
      </c>
      <c r="I3" s="2" t="s">
        <v>6</v>
      </c>
    </row>
    <row r="4" spans="6:9" ht="15.75">
      <c r="F4" s="2" t="s">
        <v>19</v>
      </c>
      <c r="G4" s="6">
        <v>50</v>
      </c>
      <c r="H4" s="3" t="s">
        <v>3</v>
      </c>
      <c r="I4" s="2" t="s">
        <v>7</v>
      </c>
    </row>
    <row r="5" spans="6:9" ht="12.75">
      <c r="F5" s="2"/>
      <c r="G5" s="3"/>
      <c r="H5" s="3"/>
      <c r="I5" s="2"/>
    </row>
    <row r="6" spans="6:9" ht="15.75">
      <c r="F6" s="2" t="s">
        <v>20</v>
      </c>
      <c r="G6" s="5">
        <f>1.48*G3</f>
        <v>29.6</v>
      </c>
      <c r="H6" s="3" t="s">
        <v>2</v>
      </c>
      <c r="I6" s="2" t="s">
        <v>8</v>
      </c>
    </row>
    <row r="7" spans="6:9" ht="15.75">
      <c r="F7" s="2" t="s">
        <v>21</v>
      </c>
      <c r="G7" s="5">
        <f>G4*2</f>
        <v>100</v>
      </c>
      <c r="H7" s="3" t="s">
        <v>3</v>
      </c>
      <c r="I7" s="2" t="s">
        <v>9</v>
      </c>
    </row>
    <row r="8" spans="6:9" ht="15.75">
      <c r="F8" s="2" t="s">
        <v>22</v>
      </c>
      <c r="G8" s="5">
        <f>0.05*G2</f>
        <v>1</v>
      </c>
      <c r="H8" s="3" t="s">
        <v>0</v>
      </c>
      <c r="I8" s="2" t="s">
        <v>16</v>
      </c>
    </row>
    <row r="9" spans="6:9" ht="15.75">
      <c r="F9" s="2" t="s">
        <v>23</v>
      </c>
      <c r="G9" s="5">
        <f>G2*0.8*1.15</f>
        <v>18.4</v>
      </c>
      <c r="H9" s="3" t="s">
        <v>0</v>
      </c>
      <c r="I9" s="2" t="s">
        <v>10</v>
      </c>
    </row>
    <row r="10" spans="6:9" ht="15.75">
      <c r="F10" s="2" t="s">
        <v>24</v>
      </c>
      <c r="G10" s="5">
        <f>2*SQRT(2)*G9</f>
        <v>52.043059095329895</v>
      </c>
      <c r="H10" s="3" t="s">
        <v>0</v>
      </c>
      <c r="I10" s="2" t="s">
        <v>11</v>
      </c>
    </row>
    <row r="11" spans="6:9" ht="15.75">
      <c r="F11" s="2" t="s">
        <v>25</v>
      </c>
      <c r="G11" s="5">
        <f>0.5*G3/G2</f>
        <v>0.5</v>
      </c>
      <c r="H11" s="3" t="s">
        <v>4</v>
      </c>
      <c r="I11" s="2" t="s">
        <v>12</v>
      </c>
    </row>
    <row r="12" spans="6:9" ht="12.75">
      <c r="F12" s="2" t="s">
        <v>13</v>
      </c>
      <c r="G12" s="5">
        <f>0.2*2*G11/G8/G7*1000000</f>
        <v>2000</v>
      </c>
      <c r="H12" s="4" t="s">
        <v>27</v>
      </c>
      <c r="I12" s="2" t="s">
        <v>14</v>
      </c>
    </row>
    <row r="13" spans="6:9" ht="15.75">
      <c r="F13" s="2" t="s">
        <v>26</v>
      </c>
      <c r="G13" s="5">
        <f>G9*SQRT(2)</f>
        <v>26.021529547664947</v>
      </c>
      <c r="H13" s="3" t="s">
        <v>0</v>
      </c>
      <c r="I13" s="2" t="s">
        <v>15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2:I13"/>
  <sheetViews>
    <sheetView showGridLines="0" showRowColHeaders="0" tabSelected="1" workbookViewId="0" topLeftCell="A1">
      <selection activeCell="G4" sqref="G4"/>
    </sheetView>
  </sheetViews>
  <sheetFormatPr defaultColWidth="9.140625" defaultRowHeight="12.75"/>
  <cols>
    <col min="6" max="6" width="3.7109375" style="0" customWidth="1"/>
    <col min="7" max="7" width="9.140625" style="1" customWidth="1"/>
    <col min="8" max="8" width="4.421875" style="1" customWidth="1"/>
    <col min="9" max="9" width="24.421875" style="0" customWidth="1"/>
  </cols>
  <sheetData>
    <row r="1" ht="12.75"/>
    <row r="2" spans="6:9" ht="15.75">
      <c r="F2" s="2" t="s">
        <v>17</v>
      </c>
      <c r="G2" s="6">
        <v>33</v>
      </c>
      <c r="H2" s="3" t="s">
        <v>0</v>
      </c>
      <c r="I2" s="2" t="s">
        <v>5</v>
      </c>
    </row>
    <row r="3" spans="6:9" ht="15.75">
      <c r="F3" s="2" t="s">
        <v>18</v>
      </c>
      <c r="G3" s="6">
        <v>60</v>
      </c>
      <c r="H3" s="3" t="s">
        <v>1</v>
      </c>
      <c r="I3" s="2" t="s">
        <v>6</v>
      </c>
    </row>
    <row r="4" spans="6:9" ht="15.75">
      <c r="F4" s="2" t="s">
        <v>19</v>
      </c>
      <c r="G4" s="6">
        <v>50</v>
      </c>
      <c r="H4" s="3" t="s">
        <v>3</v>
      </c>
      <c r="I4" s="2" t="s">
        <v>7</v>
      </c>
    </row>
    <row r="5" spans="6:9" ht="12.75">
      <c r="F5" s="2"/>
      <c r="G5" s="3"/>
      <c r="H5" s="3"/>
      <c r="I5" s="2"/>
    </row>
    <row r="6" spans="6:9" ht="15.75">
      <c r="F6" s="2" t="s">
        <v>20</v>
      </c>
      <c r="G6" s="5">
        <f>1.24*G3</f>
        <v>74.4</v>
      </c>
      <c r="H6" s="3" t="s">
        <v>2</v>
      </c>
      <c r="I6" s="2" t="s">
        <v>8</v>
      </c>
    </row>
    <row r="7" spans="6:9" ht="15.75">
      <c r="F7" s="2" t="s">
        <v>21</v>
      </c>
      <c r="G7" s="5">
        <f>G4*2</f>
        <v>100</v>
      </c>
      <c r="H7" s="3" t="s">
        <v>3</v>
      </c>
      <c r="I7" s="2" t="s">
        <v>9</v>
      </c>
    </row>
    <row r="8" spans="6:9" ht="15.75">
      <c r="F8" s="2" t="s">
        <v>22</v>
      </c>
      <c r="G8" s="5">
        <f>0.05*G2</f>
        <v>1.6500000000000001</v>
      </c>
      <c r="H8" s="3" t="s">
        <v>0</v>
      </c>
      <c r="I8" s="2" t="s">
        <v>16</v>
      </c>
    </row>
    <row r="9" spans="6:9" ht="15.75">
      <c r="F9" s="2" t="s">
        <v>23</v>
      </c>
      <c r="G9" s="5">
        <f>G2*0.8*1.15</f>
        <v>30.36</v>
      </c>
      <c r="H9" s="3" t="s">
        <v>0</v>
      </c>
      <c r="I9" s="2" t="s">
        <v>10</v>
      </c>
    </row>
    <row r="10" spans="6:9" ht="15.75">
      <c r="F10" s="2" t="s">
        <v>24</v>
      </c>
      <c r="G10" s="5">
        <f>SQRT(2)*G9</f>
        <v>42.93552375364717</v>
      </c>
      <c r="H10" s="3" t="s">
        <v>0</v>
      </c>
      <c r="I10" s="2" t="s">
        <v>11</v>
      </c>
    </row>
    <row r="11" spans="6:9" ht="15.75">
      <c r="F11" s="2" t="s">
        <v>25</v>
      </c>
      <c r="G11" s="5">
        <f>0.5*G3/G2</f>
        <v>0.9090909090909091</v>
      </c>
      <c r="H11" s="3" t="s">
        <v>4</v>
      </c>
      <c r="I11" s="2" t="s">
        <v>12</v>
      </c>
    </row>
    <row r="12" spans="6:9" ht="12.75">
      <c r="F12" s="2" t="s">
        <v>13</v>
      </c>
      <c r="G12" s="5">
        <f>0.2*2*G11/G8/G7*1000000</f>
        <v>2203.8567493112946</v>
      </c>
      <c r="H12" s="4" t="s">
        <v>27</v>
      </c>
      <c r="I12" s="2" t="s">
        <v>14</v>
      </c>
    </row>
    <row r="13" spans="6:9" ht="15.75">
      <c r="F13" s="2" t="s">
        <v>26</v>
      </c>
      <c r="G13" s="5">
        <f>G9*SQRT(2)</f>
        <v>42.93552375364717</v>
      </c>
      <c r="H13" s="3" t="s">
        <v>0</v>
      </c>
      <c r="I13" s="2" t="s">
        <v>15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showRowColHeaders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8.57421875" style="1" customWidth="1"/>
    <col min="3" max="3" width="6.7109375" style="0" customWidth="1"/>
    <col min="4" max="4" width="24.421875" style="0" customWidth="1"/>
    <col min="9" max="17" width="0" style="0" hidden="1" customWidth="1"/>
  </cols>
  <sheetData>
    <row r="1" spans="9:17" ht="14.25">
      <c r="I1" s="9" t="s">
        <v>44</v>
      </c>
      <c r="J1" s="10" t="s">
        <v>28</v>
      </c>
      <c r="K1" s="9" t="s">
        <v>45</v>
      </c>
      <c r="L1" s="9" t="s">
        <v>47</v>
      </c>
      <c r="M1" s="9" t="s">
        <v>48</v>
      </c>
      <c r="N1" s="9" t="s">
        <v>49</v>
      </c>
      <c r="O1" s="9" t="s">
        <v>50</v>
      </c>
      <c r="P1" s="9" t="s">
        <v>51</v>
      </c>
      <c r="Q1" s="18" t="s">
        <v>31</v>
      </c>
    </row>
    <row r="2" spans="1:17" ht="15.75">
      <c r="A2" s="2" t="s">
        <v>20</v>
      </c>
      <c r="B2" s="6">
        <v>45</v>
      </c>
      <c r="C2" s="2" t="s">
        <v>2</v>
      </c>
      <c r="D2" s="2" t="s">
        <v>8</v>
      </c>
      <c r="I2" s="9" t="s">
        <v>2</v>
      </c>
      <c r="J2" s="9" t="s">
        <v>29</v>
      </c>
      <c r="K2" s="9" t="s">
        <v>46</v>
      </c>
      <c r="L2" s="9" t="s">
        <v>30</v>
      </c>
      <c r="M2" s="9" t="s">
        <v>43</v>
      </c>
      <c r="N2" s="9" t="s">
        <v>43</v>
      </c>
      <c r="O2" s="9" t="s">
        <v>52</v>
      </c>
      <c r="P2" s="9" t="s">
        <v>52</v>
      </c>
      <c r="Q2" s="18"/>
    </row>
    <row r="3" spans="1:17" ht="15.75">
      <c r="A3" s="2" t="s">
        <v>66</v>
      </c>
      <c r="B3" s="6">
        <v>230</v>
      </c>
      <c r="C3" s="2" t="s">
        <v>0</v>
      </c>
      <c r="D3" s="2" t="s">
        <v>74</v>
      </c>
      <c r="I3" s="8">
        <v>280</v>
      </c>
      <c r="J3" s="8">
        <v>91</v>
      </c>
      <c r="K3" s="8">
        <v>15.8</v>
      </c>
      <c r="L3" s="8">
        <v>26.3</v>
      </c>
      <c r="M3" s="8">
        <v>2.7</v>
      </c>
      <c r="N3" s="8">
        <v>2.8</v>
      </c>
      <c r="O3" s="8">
        <v>2.1</v>
      </c>
      <c r="P3" s="8">
        <v>1.15</v>
      </c>
      <c r="Q3" s="11" t="s">
        <v>42</v>
      </c>
    </row>
    <row r="4" spans="1:17" ht="15.75">
      <c r="A4" s="2" t="s">
        <v>23</v>
      </c>
      <c r="B4" s="6">
        <v>9</v>
      </c>
      <c r="C4" s="2" t="s">
        <v>0</v>
      </c>
      <c r="D4" s="2" t="s">
        <v>10</v>
      </c>
      <c r="I4" s="8">
        <v>230</v>
      </c>
      <c r="J4" s="8">
        <v>90</v>
      </c>
      <c r="K4" s="8">
        <v>12.3</v>
      </c>
      <c r="L4" s="8">
        <v>24.3</v>
      </c>
      <c r="M4" s="8">
        <v>3.5</v>
      </c>
      <c r="N4" s="8">
        <v>3.6</v>
      </c>
      <c r="O4" s="8">
        <v>2.6</v>
      </c>
      <c r="P4" s="8">
        <v>1.15</v>
      </c>
      <c r="Q4" s="11" t="s">
        <v>41</v>
      </c>
    </row>
    <row r="5" spans="1:17" ht="12.75">
      <c r="A5" s="2"/>
      <c r="B5" s="3"/>
      <c r="C5" s="2"/>
      <c r="D5" s="2"/>
      <c r="I5" s="8">
        <v>140</v>
      </c>
      <c r="J5" s="8">
        <v>87</v>
      </c>
      <c r="K5" s="8">
        <v>15.8</v>
      </c>
      <c r="L5" s="8">
        <v>23.9</v>
      </c>
      <c r="M5" s="8">
        <v>2.7</v>
      </c>
      <c r="N5" s="8">
        <v>2.8</v>
      </c>
      <c r="O5" s="8">
        <v>2.4</v>
      </c>
      <c r="P5" s="8">
        <v>1.15</v>
      </c>
      <c r="Q5" s="11" t="s">
        <v>40</v>
      </c>
    </row>
    <row r="6" spans="1:17" ht="12.75">
      <c r="A6" s="2" t="s">
        <v>31</v>
      </c>
      <c r="B6" s="14" t="str">
        <f>INDEX(Q3:Q13,I15)</f>
        <v>EI 84/28</v>
      </c>
      <c r="C6" s="2"/>
      <c r="D6" s="2" t="s">
        <v>75</v>
      </c>
      <c r="I6" s="8">
        <v>100</v>
      </c>
      <c r="J6" s="8">
        <v>85</v>
      </c>
      <c r="K6" s="8">
        <v>12.3</v>
      </c>
      <c r="L6" s="8">
        <v>22</v>
      </c>
      <c r="M6" s="8">
        <v>3.5</v>
      </c>
      <c r="N6" s="8">
        <v>3.6</v>
      </c>
      <c r="O6" s="8">
        <v>2.6</v>
      </c>
      <c r="P6" s="8">
        <v>1.15</v>
      </c>
      <c r="Q6" s="11" t="s">
        <v>39</v>
      </c>
    </row>
    <row r="7" spans="1:17" ht="15.75">
      <c r="A7" s="2" t="s">
        <v>20</v>
      </c>
      <c r="B7" s="5">
        <f>INDEX(I3:I13,I15)</f>
        <v>50</v>
      </c>
      <c r="C7" s="2" t="s">
        <v>2</v>
      </c>
      <c r="D7" s="2" t="s">
        <v>76</v>
      </c>
      <c r="I7" s="8">
        <v>75</v>
      </c>
      <c r="J7" s="8">
        <v>83</v>
      </c>
      <c r="K7" s="8">
        <v>11.8</v>
      </c>
      <c r="L7" s="8">
        <v>19.2</v>
      </c>
      <c r="M7" s="8">
        <v>3.7</v>
      </c>
      <c r="N7" s="8">
        <v>4</v>
      </c>
      <c r="O7" s="8">
        <v>2.9</v>
      </c>
      <c r="P7" s="8">
        <v>1.15</v>
      </c>
      <c r="Q7" s="11" t="s">
        <v>38</v>
      </c>
    </row>
    <row r="8" spans="1:17" ht="15.75">
      <c r="A8" s="2" t="s">
        <v>67</v>
      </c>
      <c r="B8" s="5">
        <f>INDEX(K3:K13,I15)</f>
        <v>7.8</v>
      </c>
      <c r="C8" s="15" t="s">
        <v>55</v>
      </c>
      <c r="D8" s="2" t="s">
        <v>77</v>
      </c>
      <c r="I8" s="8">
        <v>50</v>
      </c>
      <c r="J8" s="8">
        <v>81</v>
      </c>
      <c r="K8" s="8">
        <v>7.8</v>
      </c>
      <c r="L8" s="8">
        <v>16.1</v>
      </c>
      <c r="M8" s="8">
        <v>5.6</v>
      </c>
      <c r="N8" s="8">
        <v>6.2</v>
      </c>
      <c r="O8" s="8">
        <v>3</v>
      </c>
      <c r="P8" s="8">
        <v>1.15</v>
      </c>
      <c r="Q8" s="11" t="s">
        <v>37</v>
      </c>
    </row>
    <row r="9" spans="1:17" ht="12.75">
      <c r="A9" s="2" t="s">
        <v>53</v>
      </c>
      <c r="B9" s="5">
        <v>50</v>
      </c>
      <c r="C9" s="2" t="s">
        <v>3</v>
      </c>
      <c r="D9" s="2" t="s">
        <v>78</v>
      </c>
      <c r="I9" s="8">
        <v>35</v>
      </c>
      <c r="J9" s="8">
        <v>78</v>
      </c>
      <c r="K9" s="8">
        <v>6.8</v>
      </c>
      <c r="L9" s="8">
        <v>14.9</v>
      </c>
      <c r="M9" s="8">
        <v>6.5</v>
      </c>
      <c r="N9" s="8">
        <v>7</v>
      </c>
      <c r="O9" s="8">
        <v>3.2</v>
      </c>
      <c r="P9" s="8">
        <v>1.15</v>
      </c>
      <c r="Q9" s="11" t="s">
        <v>36</v>
      </c>
    </row>
    <row r="10" spans="1:17" ht="15.75">
      <c r="A10" s="2" t="s">
        <v>68</v>
      </c>
      <c r="B10" s="5">
        <f>ROUNDUP(B3*INDEX(M3:M13,I15),0)</f>
        <v>1288</v>
      </c>
      <c r="C10" s="2" t="s">
        <v>54</v>
      </c>
      <c r="D10" s="2" t="s">
        <v>79</v>
      </c>
      <c r="I10" s="8">
        <v>20</v>
      </c>
      <c r="J10" s="8">
        <v>75</v>
      </c>
      <c r="K10" s="8">
        <v>4.3</v>
      </c>
      <c r="L10" s="8">
        <v>12.7</v>
      </c>
      <c r="M10" s="8">
        <v>9.1</v>
      </c>
      <c r="N10" s="8">
        <v>10</v>
      </c>
      <c r="O10" s="8">
        <v>3.5</v>
      </c>
      <c r="P10" s="8">
        <v>1.15</v>
      </c>
      <c r="Q10" s="11" t="s">
        <v>35</v>
      </c>
    </row>
    <row r="11" spans="1:17" ht="15.75">
      <c r="A11" s="2" t="s">
        <v>69</v>
      </c>
      <c r="B11" s="5">
        <f>ROUNDUP(B4*INDEX(N3:N13,I15),0)</f>
        <v>56</v>
      </c>
      <c r="C11" s="2" t="s">
        <v>54</v>
      </c>
      <c r="D11" s="2" t="s">
        <v>80</v>
      </c>
      <c r="I11" s="8">
        <v>15</v>
      </c>
      <c r="J11" s="8">
        <v>72</v>
      </c>
      <c r="K11" s="8">
        <v>4</v>
      </c>
      <c r="L11" s="8">
        <v>11.6</v>
      </c>
      <c r="M11" s="8">
        <v>10.9</v>
      </c>
      <c r="N11" s="8">
        <v>12</v>
      </c>
      <c r="O11" s="8">
        <v>3.7</v>
      </c>
      <c r="P11" s="8">
        <v>1.15</v>
      </c>
      <c r="Q11" s="11" t="s">
        <v>34</v>
      </c>
    </row>
    <row r="12" spans="1:17" ht="15.75">
      <c r="A12" s="2" t="s">
        <v>70</v>
      </c>
      <c r="B12" s="5">
        <f>INDEX(K19:K60,L63)</f>
        <v>0.38</v>
      </c>
      <c r="C12" s="2" t="s">
        <v>56</v>
      </c>
      <c r="D12" s="2" t="s">
        <v>81</v>
      </c>
      <c r="I12" s="8">
        <v>10</v>
      </c>
      <c r="J12" s="8">
        <v>68</v>
      </c>
      <c r="K12" s="8">
        <v>3.2</v>
      </c>
      <c r="L12" s="8">
        <v>10.4</v>
      </c>
      <c r="M12" s="8">
        <v>13.6</v>
      </c>
      <c r="N12" s="8">
        <v>15.4</v>
      </c>
      <c r="O12" s="8">
        <v>3.9</v>
      </c>
      <c r="P12" s="8">
        <v>1.15</v>
      </c>
      <c r="Q12" s="11" t="s">
        <v>33</v>
      </c>
    </row>
    <row r="13" spans="1:17" ht="15.75">
      <c r="A13" s="2" t="s">
        <v>71</v>
      </c>
      <c r="B13" s="5">
        <f>INDEX(K19:K60,M63)</f>
        <v>1.86</v>
      </c>
      <c r="C13" s="2" t="s">
        <v>56</v>
      </c>
      <c r="D13" s="2" t="s">
        <v>82</v>
      </c>
      <c r="I13" s="8">
        <v>5</v>
      </c>
      <c r="J13" s="8">
        <v>65</v>
      </c>
      <c r="K13" s="8">
        <v>2.6</v>
      </c>
      <c r="L13" s="8">
        <v>9.1</v>
      </c>
      <c r="M13" s="8">
        <v>17.5</v>
      </c>
      <c r="N13" s="8">
        <v>20</v>
      </c>
      <c r="O13" s="8">
        <v>4.4</v>
      </c>
      <c r="P13" s="8">
        <v>1.15</v>
      </c>
      <c r="Q13" s="11" t="s">
        <v>32</v>
      </c>
    </row>
    <row r="14" spans="1:4" ht="15.75">
      <c r="A14" s="2" t="s">
        <v>72</v>
      </c>
      <c r="B14" s="5">
        <f>B10*INDEX(L3:L13,I15)*INDEX(M19:M60,L63)/100</f>
        <v>37.82392320000001</v>
      </c>
      <c r="C14" s="16" t="s">
        <v>1</v>
      </c>
      <c r="D14" s="2" t="s">
        <v>83</v>
      </c>
    </row>
    <row r="15" spans="1:9" ht="15.75">
      <c r="A15" s="2" t="s">
        <v>73</v>
      </c>
      <c r="B15" s="5">
        <f>B11*INDEX(L3:L13,I15)*INDEX(M19:M60,M63)/100</f>
        <v>0.06221040000000001</v>
      </c>
      <c r="C15" s="16" t="s">
        <v>1</v>
      </c>
      <c r="D15" s="2" t="s">
        <v>84</v>
      </c>
      <c r="I15" s="1">
        <f>MATCH(B2,I3:I13,-1)</f>
        <v>6</v>
      </c>
    </row>
    <row r="16" spans="1:4" ht="12.75">
      <c r="A16" s="17" t="s">
        <v>28</v>
      </c>
      <c r="B16" s="5">
        <f>INDEX(J3:J13,I15)</f>
        <v>81</v>
      </c>
      <c r="C16" s="2" t="s">
        <v>29</v>
      </c>
      <c r="D16" s="2" t="s">
        <v>85</v>
      </c>
    </row>
    <row r="17" spans="9:13" ht="12.75">
      <c r="I17" s="12" t="s">
        <v>60</v>
      </c>
      <c r="J17" s="12" t="s">
        <v>57</v>
      </c>
      <c r="K17" s="12" t="s">
        <v>58</v>
      </c>
      <c r="L17" s="12" t="s">
        <v>59</v>
      </c>
      <c r="M17" s="13" t="s">
        <v>61</v>
      </c>
    </row>
    <row r="18" spans="9:13" ht="14.25">
      <c r="I18" s="12" t="s">
        <v>4</v>
      </c>
      <c r="J18" s="12" t="s">
        <v>56</v>
      </c>
      <c r="K18" s="12" t="s">
        <v>56</v>
      </c>
      <c r="L18" s="12" t="s">
        <v>62</v>
      </c>
      <c r="M18" s="13" t="s">
        <v>63</v>
      </c>
    </row>
    <row r="19" spans="9:13" ht="12.75">
      <c r="I19" s="1">
        <v>12.3</v>
      </c>
      <c r="J19" s="1">
        <v>2.5</v>
      </c>
      <c r="K19" s="1">
        <v>2.57</v>
      </c>
      <c r="L19" s="1">
        <f aca="true" t="shared" si="0" ref="L19:L60">ROUND(J19^2*PI()/4,4)</f>
        <v>4.9087</v>
      </c>
      <c r="M19" s="1">
        <v>0.0036</v>
      </c>
    </row>
    <row r="20" spans="9:13" ht="12.75">
      <c r="I20" s="1">
        <v>9.5</v>
      </c>
      <c r="J20" s="1">
        <v>2.2</v>
      </c>
      <c r="K20" s="1">
        <v>2.27</v>
      </c>
      <c r="L20" s="1">
        <f t="shared" si="0"/>
        <v>3.8013</v>
      </c>
      <c r="M20" s="1">
        <v>0.0046</v>
      </c>
    </row>
    <row r="21" spans="9:13" ht="12.75">
      <c r="I21" s="1">
        <v>8</v>
      </c>
      <c r="J21" s="1">
        <v>2</v>
      </c>
      <c r="K21" s="1">
        <v>2.07</v>
      </c>
      <c r="L21" s="1">
        <f t="shared" si="0"/>
        <v>3.1416</v>
      </c>
      <c r="M21" s="1">
        <v>0.0056</v>
      </c>
    </row>
    <row r="22" spans="9:13" ht="12.75">
      <c r="I22" s="1">
        <v>6.48</v>
      </c>
      <c r="J22" s="1">
        <v>1.8</v>
      </c>
      <c r="K22" s="1">
        <v>1.86</v>
      </c>
      <c r="L22" s="1">
        <f t="shared" si="0"/>
        <v>2.5447</v>
      </c>
      <c r="M22" s="1">
        <v>0.0069</v>
      </c>
    </row>
    <row r="23" spans="9:13" ht="12.75">
      <c r="I23" s="1">
        <v>5.12</v>
      </c>
      <c r="J23" s="1">
        <v>1.6</v>
      </c>
      <c r="K23" s="1">
        <v>1.66</v>
      </c>
      <c r="L23" s="1">
        <f t="shared" si="0"/>
        <v>2.0106</v>
      </c>
      <c r="M23" s="1">
        <v>0.0087</v>
      </c>
    </row>
    <row r="24" spans="9:13" ht="12.75">
      <c r="I24" s="1">
        <v>4.5</v>
      </c>
      <c r="J24" s="1">
        <v>1.5</v>
      </c>
      <c r="K24" s="1">
        <v>1.56</v>
      </c>
      <c r="L24" s="1">
        <f t="shared" si="0"/>
        <v>1.7671</v>
      </c>
      <c r="M24" s="1">
        <v>0.0099</v>
      </c>
    </row>
    <row r="25" spans="9:13" ht="12.75">
      <c r="I25" s="1">
        <v>3.92</v>
      </c>
      <c r="J25" s="1">
        <v>1.4</v>
      </c>
      <c r="K25" s="1">
        <v>1.46</v>
      </c>
      <c r="L25" s="1">
        <f t="shared" si="0"/>
        <v>1.5394</v>
      </c>
      <c r="M25" s="1">
        <v>0.0114</v>
      </c>
    </row>
    <row r="26" spans="9:13" ht="12.75">
      <c r="I26" s="1">
        <v>3.38</v>
      </c>
      <c r="J26" s="1">
        <v>1.3</v>
      </c>
      <c r="K26" s="1">
        <v>1.36</v>
      </c>
      <c r="L26" s="1">
        <f t="shared" si="0"/>
        <v>1.3273</v>
      </c>
      <c r="M26" s="1">
        <v>0.0132</v>
      </c>
    </row>
    <row r="27" spans="9:13" ht="12.75">
      <c r="I27" s="1">
        <v>2.88</v>
      </c>
      <c r="J27" s="1">
        <v>1.2</v>
      </c>
      <c r="K27" s="1">
        <v>1.26</v>
      </c>
      <c r="L27" s="1">
        <f t="shared" si="0"/>
        <v>1.131</v>
      </c>
      <c r="M27" s="1">
        <v>0.0155</v>
      </c>
    </row>
    <row r="28" spans="9:13" ht="12.75">
      <c r="I28" s="1">
        <v>2.42</v>
      </c>
      <c r="J28" s="1">
        <v>1.1</v>
      </c>
      <c r="K28" s="1">
        <v>1.16</v>
      </c>
      <c r="L28" s="1">
        <f t="shared" si="0"/>
        <v>0.9503</v>
      </c>
      <c r="M28" s="1">
        <v>0.0184</v>
      </c>
    </row>
    <row r="29" spans="9:13" ht="12.75">
      <c r="I29" s="1">
        <v>2</v>
      </c>
      <c r="J29" s="1">
        <v>1</v>
      </c>
      <c r="K29" s="1">
        <v>1.05</v>
      </c>
      <c r="L29" s="1">
        <f t="shared" si="0"/>
        <v>0.7854</v>
      </c>
      <c r="M29" s="1">
        <v>0.0223</v>
      </c>
    </row>
    <row r="30" spans="9:13" ht="12.75">
      <c r="I30" s="1">
        <v>1.805</v>
      </c>
      <c r="J30" s="1">
        <v>0.95</v>
      </c>
      <c r="K30" s="1">
        <v>1</v>
      </c>
      <c r="L30" s="1">
        <f t="shared" si="0"/>
        <v>0.7088</v>
      </c>
      <c r="M30" s="1">
        <v>0.0245</v>
      </c>
    </row>
    <row r="31" spans="9:13" ht="12.75">
      <c r="I31" s="1">
        <v>1.62</v>
      </c>
      <c r="J31" s="1">
        <v>0.9</v>
      </c>
      <c r="K31" s="1">
        <v>0.95</v>
      </c>
      <c r="L31" s="1">
        <f t="shared" si="0"/>
        <v>0.6362</v>
      </c>
      <c r="M31" s="1">
        <v>0.0275</v>
      </c>
    </row>
    <row r="32" spans="9:13" ht="12.75">
      <c r="I32" s="1">
        <v>1.445</v>
      </c>
      <c r="J32" s="1">
        <v>0.85</v>
      </c>
      <c r="K32" s="1">
        <v>0.9</v>
      </c>
      <c r="L32" s="1">
        <f t="shared" si="0"/>
        <v>0.5675</v>
      </c>
      <c r="M32" s="1">
        <v>0.0318</v>
      </c>
    </row>
    <row r="33" spans="9:13" ht="12.75">
      <c r="I33" s="1">
        <v>1.28</v>
      </c>
      <c r="J33" s="1">
        <v>0.8</v>
      </c>
      <c r="K33" s="1">
        <v>0.84</v>
      </c>
      <c r="L33" s="1">
        <f t="shared" si="0"/>
        <v>0.5027</v>
      </c>
      <c r="M33" s="1">
        <v>0.0348</v>
      </c>
    </row>
    <row r="34" spans="9:13" ht="12.75">
      <c r="I34" s="1">
        <v>1.125</v>
      </c>
      <c r="J34" s="1">
        <v>0.75</v>
      </c>
      <c r="K34" s="1">
        <v>0.79</v>
      </c>
      <c r="L34" s="1">
        <f t="shared" si="0"/>
        <v>0.4418</v>
      </c>
      <c r="M34" s="1">
        <v>0.0395</v>
      </c>
    </row>
    <row r="35" spans="9:13" ht="12.75">
      <c r="I35" s="1">
        <v>0.98</v>
      </c>
      <c r="J35" s="1">
        <v>0.7</v>
      </c>
      <c r="K35" s="1">
        <v>0.74</v>
      </c>
      <c r="L35" s="1">
        <f t="shared" si="0"/>
        <v>0.3848</v>
      </c>
      <c r="M35" s="1">
        <v>0.0455</v>
      </c>
    </row>
    <row r="36" spans="9:13" ht="12.75">
      <c r="I36" s="1">
        <v>0.845</v>
      </c>
      <c r="J36" s="1">
        <v>0.65</v>
      </c>
      <c r="K36" s="1">
        <v>0.69</v>
      </c>
      <c r="L36" s="1">
        <f t="shared" si="0"/>
        <v>0.3318</v>
      </c>
      <c r="M36" s="1">
        <v>0.0562</v>
      </c>
    </row>
    <row r="37" spans="9:13" ht="12.75">
      <c r="I37" s="1">
        <v>0.72</v>
      </c>
      <c r="J37" s="1">
        <v>0.6</v>
      </c>
      <c r="K37" s="1">
        <v>0.64</v>
      </c>
      <c r="L37" s="1">
        <f t="shared" si="0"/>
        <v>0.2827</v>
      </c>
      <c r="M37" s="1">
        <v>0.0621</v>
      </c>
    </row>
    <row r="38" spans="9:13" ht="12.75">
      <c r="I38" s="1">
        <v>0.605</v>
      </c>
      <c r="J38" s="1">
        <v>0.55</v>
      </c>
      <c r="K38" s="1">
        <v>0.59</v>
      </c>
      <c r="L38" s="1">
        <f t="shared" si="0"/>
        <v>0.2376</v>
      </c>
      <c r="M38" s="1">
        <v>0.0738</v>
      </c>
    </row>
    <row r="39" spans="9:13" ht="12.75">
      <c r="I39" s="1">
        <v>0.5</v>
      </c>
      <c r="J39" s="1">
        <v>0.5</v>
      </c>
      <c r="K39" s="1">
        <v>0.54</v>
      </c>
      <c r="L39" s="1">
        <f t="shared" si="0"/>
        <v>0.1963</v>
      </c>
      <c r="M39" s="1">
        <v>0.0894</v>
      </c>
    </row>
    <row r="40" spans="9:13" ht="12.75">
      <c r="I40" s="1">
        <v>0.405</v>
      </c>
      <c r="J40" s="1">
        <v>0.45</v>
      </c>
      <c r="K40" s="1">
        <v>0.48</v>
      </c>
      <c r="L40" s="1">
        <f t="shared" si="0"/>
        <v>0.159</v>
      </c>
      <c r="M40" s="1">
        <v>0.1103</v>
      </c>
    </row>
    <row r="41" spans="9:13" ht="12.75">
      <c r="I41" s="1">
        <v>0.32</v>
      </c>
      <c r="J41" s="1">
        <v>0.4</v>
      </c>
      <c r="K41" s="1">
        <v>0.43</v>
      </c>
      <c r="L41" s="1">
        <f t="shared" si="0"/>
        <v>0.1257</v>
      </c>
      <c r="M41" s="1">
        <v>0.1396</v>
      </c>
    </row>
    <row r="42" spans="9:13" ht="12.75">
      <c r="I42" s="1">
        <v>0.245</v>
      </c>
      <c r="J42" s="1">
        <v>0.35</v>
      </c>
      <c r="K42" s="1">
        <v>0.38</v>
      </c>
      <c r="L42" s="1">
        <f t="shared" si="0"/>
        <v>0.0962</v>
      </c>
      <c r="M42" s="1">
        <v>0.1824</v>
      </c>
    </row>
    <row r="43" spans="9:13" ht="12.75">
      <c r="I43" s="1">
        <v>0.18</v>
      </c>
      <c r="J43" s="1">
        <v>0.3</v>
      </c>
      <c r="K43" s="1">
        <v>0.33</v>
      </c>
      <c r="L43" s="1">
        <f t="shared" si="0"/>
        <v>0.0707</v>
      </c>
      <c r="M43" s="1">
        <v>0.248</v>
      </c>
    </row>
    <row r="44" spans="9:13" ht="12.75">
      <c r="I44" s="1">
        <v>0.125</v>
      </c>
      <c r="J44" s="1">
        <v>0.25</v>
      </c>
      <c r="K44" s="1">
        <v>0.27</v>
      </c>
      <c r="L44" s="1">
        <f t="shared" si="0"/>
        <v>0.0491</v>
      </c>
      <c r="M44" s="1">
        <v>0.357</v>
      </c>
    </row>
    <row r="45" spans="9:13" ht="12.75">
      <c r="I45" s="1">
        <v>0.08</v>
      </c>
      <c r="J45" s="1">
        <v>0.2</v>
      </c>
      <c r="K45" s="1">
        <v>0.22</v>
      </c>
      <c r="L45" s="1">
        <f t="shared" si="0"/>
        <v>0.0314</v>
      </c>
      <c r="M45" s="1">
        <v>0.557</v>
      </c>
    </row>
    <row r="46" spans="9:13" ht="12.75">
      <c r="I46" s="1">
        <v>0.072</v>
      </c>
      <c r="J46" s="1">
        <v>0.19</v>
      </c>
      <c r="K46" s="1">
        <v>0.21</v>
      </c>
      <c r="L46" s="1">
        <f t="shared" si="0"/>
        <v>0.0284</v>
      </c>
      <c r="M46" s="1">
        <v>0.619</v>
      </c>
    </row>
    <row r="47" spans="9:13" ht="12.75">
      <c r="I47" s="1">
        <v>0.065</v>
      </c>
      <c r="J47" s="1">
        <v>0.18</v>
      </c>
      <c r="K47" s="1">
        <v>0.2</v>
      </c>
      <c r="L47" s="1">
        <f t="shared" si="0"/>
        <v>0.0254</v>
      </c>
      <c r="M47" s="1">
        <v>0.689</v>
      </c>
    </row>
    <row r="48" spans="9:13" ht="12.75">
      <c r="I48" s="1">
        <v>0.058</v>
      </c>
      <c r="J48" s="1">
        <v>0.17</v>
      </c>
      <c r="K48" s="1">
        <v>0.19</v>
      </c>
      <c r="L48" s="1">
        <f t="shared" si="0"/>
        <v>0.0227</v>
      </c>
      <c r="M48" s="1">
        <v>0.773</v>
      </c>
    </row>
    <row r="49" spans="9:13" ht="12.75">
      <c r="I49" s="1">
        <v>0.051</v>
      </c>
      <c r="J49" s="1">
        <v>0.16</v>
      </c>
      <c r="K49" s="1">
        <v>0.18</v>
      </c>
      <c r="L49" s="1">
        <f t="shared" si="0"/>
        <v>0.0201</v>
      </c>
      <c r="M49" s="1">
        <v>0.87</v>
      </c>
    </row>
    <row r="50" spans="9:13" ht="12.75">
      <c r="I50" s="1">
        <v>0.045</v>
      </c>
      <c r="J50" s="1">
        <v>0.15</v>
      </c>
      <c r="K50" s="1">
        <v>0.17</v>
      </c>
      <c r="L50" s="1">
        <f t="shared" si="0"/>
        <v>0.0177</v>
      </c>
      <c r="M50" s="1">
        <v>0.9</v>
      </c>
    </row>
    <row r="51" spans="9:13" ht="12.75">
      <c r="I51" s="1">
        <v>0.039</v>
      </c>
      <c r="J51" s="1">
        <v>0.14</v>
      </c>
      <c r="K51" s="1">
        <v>0.16</v>
      </c>
      <c r="L51" s="1">
        <f t="shared" si="0"/>
        <v>0.0154</v>
      </c>
      <c r="M51" s="1">
        <v>1.14</v>
      </c>
    </row>
    <row r="52" spans="9:13" ht="12.75">
      <c r="I52" s="1">
        <v>0.034</v>
      </c>
      <c r="J52" s="1">
        <v>0.13</v>
      </c>
      <c r="K52" s="1">
        <v>0.15</v>
      </c>
      <c r="L52" s="1">
        <f t="shared" si="0"/>
        <v>0.0133</v>
      </c>
      <c r="M52" s="1">
        <v>1.32</v>
      </c>
    </row>
    <row r="53" spans="9:13" ht="12.75">
      <c r="I53" s="1">
        <v>0.029</v>
      </c>
      <c r="J53" s="1">
        <v>0.12</v>
      </c>
      <c r="K53" s="1">
        <v>0.14</v>
      </c>
      <c r="L53" s="1">
        <f t="shared" si="0"/>
        <v>0.0113</v>
      </c>
      <c r="M53" s="1">
        <v>1.55</v>
      </c>
    </row>
    <row r="54" spans="9:13" ht="12.75">
      <c r="I54" s="1">
        <v>0.024</v>
      </c>
      <c r="J54" s="1">
        <v>0.11</v>
      </c>
      <c r="K54" s="1">
        <v>0.13</v>
      </c>
      <c r="L54" s="1">
        <f t="shared" si="0"/>
        <v>0.0095</v>
      </c>
      <c r="M54" s="1">
        <v>1.84</v>
      </c>
    </row>
    <row r="55" spans="9:13" ht="12.75">
      <c r="I55" s="1">
        <v>0.02</v>
      </c>
      <c r="J55" s="1">
        <v>0.1</v>
      </c>
      <c r="K55" s="1">
        <v>0.115</v>
      </c>
      <c r="L55" s="1">
        <f t="shared" si="0"/>
        <v>0.0079</v>
      </c>
      <c r="M55" s="1">
        <v>2.23</v>
      </c>
    </row>
    <row r="56" spans="9:13" ht="12.75">
      <c r="I56" s="1">
        <v>0.016</v>
      </c>
      <c r="J56" s="1">
        <v>0.09</v>
      </c>
      <c r="K56" s="1">
        <v>0.108</v>
      </c>
      <c r="L56" s="1">
        <f t="shared" si="0"/>
        <v>0.0064</v>
      </c>
      <c r="M56" s="1">
        <v>2.76</v>
      </c>
    </row>
    <row r="57" spans="9:13" ht="12.75">
      <c r="I57" s="1">
        <v>0.013</v>
      </c>
      <c r="J57" s="1">
        <v>0.08</v>
      </c>
      <c r="K57" s="1">
        <v>0.095</v>
      </c>
      <c r="L57" s="1">
        <f t="shared" si="0"/>
        <v>0.005</v>
      </c>
      <c r="M57" s="1">
        <v>3.49</v>
      </c>
    </row>
    <row r="58" spans="9:13" ht="12.75">
      <c r="I58" s="1">
        <v>0.01</v>
      </c>
      <c r="J58" s="1">
        <v>0.07</v>
      </c>
      <c r="K58" s="1">
        <v>0.085</v>
      </c>
      <c r="L58" s="1">
        <f t="shared" si="0"/>
        <v>0.0038</v>
      </c>
      <c r="M58" s="1">
        <v>4.56</v>
      </c>
    </row>
    <row r="59" spans="9:13" ht="12.75">
      <c r="I59" s="1">
        <v>0.007</v>
      </c>
      <c r="J59" s="1">
        <v>0.06</v>
      </c>
      <c r="K59" s="1">
        <v>0.075</v>
      </c>
      <c r="L59" s="1">
        <f t="shared" si="0"/>
        <v>0.0028</v>
      </c>
      <c r="M59" s="1">
        <v>6.21</v>
      </c>
    </row>
    <row r="60" spans="9:13" ht="12.75">
      <c r="I60" s="1">
        <v>0.005</v>
      </c>
      <c r="J60" s="1">
        <v>0.05</v>
      </c>
      <c r="K60" s="1">
        <v>0.062</v>
      </c>
      <c r="L60" s="1">
        <f t="shared" si="0"/>
        <v>0.002</v>
      </c>
      <c r="M60" s="1">
        <v>8.92</v>
      </c>
    </row>
    <row r="62" spans="9:10" ht="12.75">
      <c r="I62" t="s">
        <v>64</v>
      </c>
      <c r="J62" t="s">
        <v>65</v>
      </c>
    </row>
    <row r="63" spans="9:13" ht="12.75">
      <c r="I63">
        <f>B7/B3</f>
        <v>0.21739130434782608</v>
      </c>
      <c r="J63">
        <f>B7/B4</f>
        <v>5.555555555555555</v>
      </c>
      <c r="L63">
        <f>MATCH(I63,I19:I60,-1)</f>
        <v>24</v>
      </c>
      <c r="M63">
        <f>MATCH(J63,I19:I60,-1)</f>
        <v>4</v>
      </c>
    </row>
  </sheetData>
  <sheetProtection sheet="1" objects="1" scenarios="1"/>
  <mergeCells count="1">
    <mergeCell ref="Q1:Q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Fülöp Oszkár</dc:creator>
  <cp:keywords/>
  <dc:description/>
  <cp:lastModifiedBy>Fülöp Oszkár</cp:lastModifiedBy>
  <dcterms:created xsi:type="dcterms:W3CDTF">2004-12-27T14:11:27Z</dcterms:created>
  <dcterms:modified xsi:type="dcterms:W3CDTF">2008-05-31T14:53:23Z</dcterms:modified>
  <cp:category/>
  <cp:version/>
  <cp:contentType/>
  <cp:contentStatus/>
</cp:coreProperties>
</file>